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gutierre\AppData\Local\Microsoft\Windows\INetCache\Content.Outlook\5G4MSM44\"/>
    </mc:Choice>
  </mc:AlternateContent>
  <bookViews>
    <workbookView xWindow="-15" yWindow="6690" windowWidth="28830" windowHeight="6735" tabRatio="946" activeTab="2"/>
  </bookViews>
  <sheets>
    <sheet name="Introduction" sheetId="7" r:id="rId1"/>
    <sheet name="Screening Flare Parameters" sheetId="6" r:id="rId2"/>
    <sheet name="Refined Flare Parameters" sheetId="5" r:id="rId3"/>
    <sheet name="Flare Calcs" sheetId="3" r:id="rId4"/>
    <sheet name="Tables" sheetId="4" r:id="rId5"/>
    <sheet name="Default Fuel Tables" sheetId="8" r:id="rId6"/>
  </sheets>
  <definedNames>
    <definedName name="_Fill" hidden="1">#REF!</definedName>
  </definedNames>
  <calcPr calcId="162913"/>
</workbook>
</file>

<file path=xl/calcChain.xml><?xml version="1.0" encoding="utf-8"?>
<calcChain xmlns="http://schemas.openxmlformats.org/spreadsheetml/2006/main">
  <c r="B22" i="6" l="1"/>
  <c r="B23" i="6" s="1"/>
  <c r="E12" i="8" l="1"/>
  <c r="D12" i="8"/>
  <c r="C12" i="8"/>
  <c r="B12" i="8"/>
  <c r="A12" i="8"/>
  <c r="E7" i="8"/>
  <c r="D7" i="8"/>
  <c r="C7" i="8"/>
  <c r="E13" i="5"/>
  <c r="B7" i="8"/>
  <c r="A7" i="8"/>
  <c r="B5" i="8"/>
  <c r="E4" i="8"/>
  <c r="D4" i="8"/>
  <c r="C4" i="8"/>
  <c r="B4" i="8"/>
  <c r="E5" i="8"/>
  <c r="D5" i="8"/>
  <c r="C5" i="8"/>
  <c r="A5" i="8"/>
  <c r="A4" i="8"/>
  <c r="B3" i="8"/>
  <c r="C3" i="8"/>
  <c r="D3" i="8"/>
  <c r="E3" i="8"/>
  <c r="A3" i="8"/>
  <c r="E18" i="5"/>
  <c r="E17" i="5"/>
  <c r="E16" i="5"/>
  <c r="E15" i="5"/>
  <c r="E14" i="5"/>
  <c r="E12" i="5"/>
  <c r="E11" i="5"/>
  <c r="E9" i="5"/>
  <c r="E10" i="5"/>
  <c r="C11" i="6" l="1"/>
  <c r="B14" i="6"/>
  <c r="B16" i="6" s="1"/>
  <c r="B7" i="6" s="1"/>
  <c r="D14" i="6"/>
  <c r="C19" i="6"/>
  <c r="B8" i="6"/>
  <c r="F16" i="6" l="1"/>
  <c r="D16" i="6"/>
  <c r="C35" i="5" l="1"/>
  <c r="D25" i="5"/>
  <c r="B18" i="5"/>
  <c r="C61" i="3"/>
  <c r="C58" i="3"/>
  <c r="C56" i="3"/>
  <c r="C62" i="3"/>
  <c r="C28" i="3" l="1"/>
  <c r="C113" i="3"/>
  <c r="C60" i="3"/>
  <c r="C92" i="3"/>
  <c r="C91" i="3"/>
  <c r="C42" i="3"/>
  <c r="C41" i="3"/>
  <c r="C8" i="3"/>
  <c r="C6" i="3"/>
  <c r="C64" i="3"/>
  <c r="D104" i="3" s="1"/>
  <c r="C43" i="3" l="1"/>
  <c r="C44" i="3" s="1"/>
  <c r="C90" i="3" s="1"/>
  <c r="C93" i="3" s="1"/>
  <c r="D105" i="3" s="1"/>
  <c r="D115" i="3" l="1"/>
  <c r="D116" i="3" s="1"/>
  <c r="D137" i="3" s="1"/>
  <c r="C57" i="3"/>
  <c r="E64" i="3" s="1"/>
  <c r="C26" i="3"/>
  <c r="C29" i="3" l="1"/>
  <c r="B17" i="5" s="1"/>
  <c r="D126" i="3"/>
  <c r="C63" i="3"/>
  <c r="C7" i="3" l="1"/>
  <c r="C9" i="3" s="1"/>
  <c r="G34" i="5" s="1"/>
  <c r="C79" i="3"/>
  <c r="C80" i="3" s="1"/>
  <c r="F24" i="5" s="1"/>
  <c r="C104" i="3"/>
  <c r="C105" i="3" s="1"/>
  <c r="C115" i="3" s="1"/>
  <c r="C116" i="3" s="1"/>
  <c r="C126" i="3" s="1"/>
  <c r="E63" i="3"/>
  <c r="E34" i="5"/>
  <c r="C10" i="3" l="1"/>
  <c r="C124" i="3"/>
  <c r="D127" i="3" s="1"/>
  <c r="D150" i="3" s="1"/>
  <c r="C135" i="3"/>
  <c r="D138" i="3" s="1"/>
  <c r="D154" i="3" s="1"/>
  <c r="B16" i="5"/>
  <c r="C137" i="3"/>
  <c r="C138" i="3" l="1"/>
  <c r="F20" i="5" s="1"/>
  <c r="C127" i="3"/>
  <c r="H27" i="5" s="1"/>
  <c r="C150" i="3" l="1"/>
  <c r="G29" i="5" s="1"/>
  <c r="G43" i="5" s="1"/>
  <c r="B15" i="5"/>
  <c r="C154" i="3"/>
  <c r="E32" i="5" s="1"/>
  <c r="B32" i="5" l="1"/>
  <c r="B21" i="5"/>
  <c r="F37" i="5"/>
  <c r="F45" i="5"/>
</calcChain>
</file>

<file path=xl/comments1.xml><?xml version="1.0" encoding="utf-8"?>
<comments xmlns="http://schemas.openxmlformats.org/spreadsheetml/2006/main">
  <authors>
    <author>Yu Vu</author>
  </authors>
  <commentList>
    <comment ref="A20" authorId="0" shapeId="0">
      <text>
        <r>
          <rPr>
            <b/>
            <sz val="9"/>
            <color indexed="81"/>
            <rFont val="Tahoma"/>
            <charset val="1"/>
          </rPr>
          <t xml:space="preserve">This value is only entered for partially enclosed flares.  It represents the distance from the base of the flare (flare tip) to the actual exhaust/enclosure opening. </t>
        </r>
      </text>
    </comment>
    <comment ref="A21" authorId="0" shapeId="0">
      <text>
        <r>
          <rPr>
            <b/>
            <sz val="9"/>
            <color indexed="81"/>
            <rFont val="Tahoma"/>
            <charset val="1"/>
          </rPr>
          <t>This is the true effective stack height for the partially enclosed flare.  It is obtained by subtracting the height offset from the effective stack height determined above (in the Modeling Parameters section).  This is the value that should be used for as the stack height when modeling partially enclosed flares.</t>
        </r>
      </text>
    </comment>
  </commentList>
</comments>
</file>

<file path=xl/sharedStrings.xml><?xml version="1.0" encoding="utf-8"?>
<sst xmlns="http://schemas.openxmlformats.org/spreadsheetml/2006/main" count="606" uniqueCount="460">
  <si>
    <t>K</t>
  </si>
  <si>
    <t>R</t>
  </si>
  <si>
    <t>m/sec</t>
  </si>
  <si>
    <t>ft</t>
  </si>
  <si>
    <t>m</t>
  </si>
  <si>
    <t>Height</t>
  </si>
  <si>
    <t>Condition</t>
  </si>
  <si>
    <t>Minimum Distance</t>
  </si>
  <si>
    <t>The minimum distance from the center of the ﬂare to the point of exposureis estimated as follows</t>
  </si>
  <si>
    <t>D = minimum distance from ﬂame center, m</t>
  </si>
  <si>
    <t>Q = heat release, kW</t>
  </si>
  <si>
    <t>τ = fraction of heat intensity transmitted (for a conservative analysis, the value of
τ
is assumed as 1.)</t>
  </si>
  <si>
    <t>Gas Type</t>
  </si>
  <si>
    <t>Value of F</t>
  </si>
  <si>
    <t>Hydrogen</t>
  </si>
  <si>
    <t>Butane</t>
  </si>
  <si>
    <t>Methane</t>
  </si>
  <si>
    <t>Natural gas</t>
  </si>
  <si>
    <t>Ethane</t>
  </si>
  <si>
    <t>Propane</t>
  </si>
  <si>
    <t>i-Butane</t>
  </si>
  <si>
    <t>n-Butane</t>
  </si>
  <si>
    <t>i-Pentane</t>
  </si>
  <si>
    <t>n-Pentane</t>
  </si>
  <si>
    <t>n-Hexane</t>
  </si>
  <si>
    <t>n-Heptane</t>
  </si>
  <si>
    <t>n-Octane</t>
  </si>
  <si>
    <t>Carbon monoxide</t>
  </si>
  <si>
    <t>Carbon dioxide</t>
  </si>
  <si>
    <t>Nitrogen</t>
  </si>
  <si>
    <t>Gases</t>
  </si>
  <si>
    <t>Heating Value (MJ/kg)</t>
  </si>
  <si>
    <t>Table 1 Recommended Total RadiationsRadiation</t>
  </si>
  <si>
    <t>Table 2 Radiation from Gaseous Diffusion Flames</t>
  </si>
  <si>
    <t>Fraction of heat radiated, F</t>
  </si>
  <si>
    <t>Heat release, Q</t>
  </si>
  <si>
    <t>For gases with known compositions, the heat release is estimated as follows:</t>
  </si>
  <si>
    <t>Where:</t>
  </si>
  <si>
    <r>
      <t>Q = (W / 3.6 ) * ∑ w</t>
    </r>
    <r>
      <rPr>
        <vertAlign val="subscript"/>
        <sz val="12"/>
        <color theme="1"/>
        <rFont val="Arial"/>
        <family val="2"/>
      </rPr>
      <t>i</t>
    </r>
    <r>
      <rPr>
        <sz val="12"/>
        <color theme="1"/>
        <rFont val="Arial"/>
        <family val="2"/>
      </rPr>
      <t>q</t>
    </r>
    <r>
      <rPr>
        <vertAlign val="subscript"/>
        <sz val="12"/>
        <color theme="1"/>
        <rFont val="Arial"/>
        <family val="2"/>
      </rPr>
      <t>i</t>
    </r>
  </si>
  <si>
    <r>
      <t>w</t>
    </r>
    <r>
      <rPr>
        <vertAlign val="subscript"/>
        <sz val="12"/>
        <color theme="1"/>
        <rFont val="Arial"/>
        <family val="2"/>
      </rPr>
      <t>i</t>
    </r>
    <r>
      <rPr>
        <sz val="12"/>
        <color theme="1"/>
        <rFont val="Arial"/>
        <family val="2"/>
      </rPr>
      <t xml:space="preserve"> = mass fraction of component i</t>
    </r>
  </si>
  <si>
    <t>τ =</t>
  </si>
  <si>
    <t>F =</t>
  </si>
  <si>
    <t>Heat intensity in areas where emergency actions lasting up to 1 min may be required by personnel without shielding but with appropriate clothing</t>
  </si>
  <si>
    <t>Heat intensity in areas where emergency actions lasting several minutes may be required by personnel without shielding but with appropriate clothing</t>
  </si>
  <si>
    <t>Value of K at any location where personnel with appropriate clothing may be continuously exposed</t>
  </si>
  <si>
    <t>Heat intensity on structures and in areas where operators are not likely to be performing duties and where shelter from radiant heat is available (e.g., behind equipment)</t>
  </si>
  <si>
    <t xml:space="preserve">Q = </t>
  </si>
  <si>
    <t xml:space="preserve">K = </t>
  </si>
  <si>
    <t>If the gas composition is not known, the heating value of the gas can be assumed as 50 MJ/kg. Heating values of commonly used gases are presented in Table 3.</t>
  </si>
  <si>
    <t>Table 3 Heating Value of Commonly Used Gases</t>
  </si>
  <si>
    <r>
      <t>K = allowable radiation, kW/m</t>
    </r>
    <r>
      <rPr>
        <vertAlign val="superscript"/>
        <sz val="12"/>
        <color theme="1"/>
        <rFont val="Arial"/>
        <family val="2"/>
      </rPr>
      <t>2</t>
    </r>
    <r>
      <rPr>
        <sz val="12"/>
        <color theme="1"/>
        <rFont val="Arial"/>
        <family val="2"/>
      </rPr>
      <t xml:space="preserve"> (Table 1)</t>
    </r>
  </si>
  <si>
    <t>This depends on the composition of gas and the burner diameter. An approx-imate value of F can be applied based on Table 2. The values presentedin Table 2 are applicable to radiation from a gas. If liquid droplets of the hydrocarbon larger than 150 μm in size are present in the ﬂame, the values should be increased.</t>
  </si>
  <si>
    <t xml:space="preserve">W = </t>
  </si>
  <si>
    <r>
      <t>w</t>
    </r>
    <r>
      <rPr>
        <vertAlign val="subscript"/>
        <sz val="12"/>
        <color theme="1"/>
        <rFont val="Arial"/>
        <family val="2"/>
      </rPr>
      <t>i</t>
    </r>
    <r>
      <rPr>
        <sz val="12"/>
        <color theme="1"/>
        <rFont val="Arial"/>
        <family val="2"/>
      </rPr>
      <t xml:space="preserve"> = </t>
    </r>
  </si>
  <si>
    <r>
      <t>q</t>
    </r>
    <r>
      <rPr>
        <vertAlign val="subscript"/>
        <sz val="12"/>
        <color theme="1"/>
        <rFont val="Arial"/>
        <family val="2"/>
      </rPr>
      <t>i</t>
    </r>
    <r>
      <rPr>
        <sz val="12"/>
        <color theme="1"/>
        <rFont val="Arial"/>
        <family val="2"/>
      </rPr>
      <t xml:space="preserve"> = </t>
    </r>
  </si>
  <si>
    <t xml:space="preserve">V = </t>
  </si>
  <si>
    <t xml:space="preserve">T = </t>
  </si>
  <si>
    <t>Gas</t>
  </si>
  <si>
    <t>Formula</t>
  </si>
  <si>
    <t>Molecular</t>
  </si>
  <si>
    <t>weight</t>
  </si>
  <si>
    <t>Density - ρ -</t>
  </si>
  <si>
    <t>Acetylene (ethyne)</t>
  </si>
  <si>
    <t>Air</t>
  </si>
  <si>
    <t>Ammonia</t>
  </si>
  <si>
    <t>Argon</t>
  </si>
  <si>
    <t>Ar</t>
  </si>
  <si>
    <t>Benzene</t>
  </si>
  <si>
    <t>Blast furnace gas</t>
  </si>
  <si>
    <t>Butylene (Butene)</t>
  </si>
  <si>
    <t>Carbon disulphide</t>
  </si>
  <si>
    <t>CO</t>
  </si>
  <si>
    <t>Carbureted Water Gas</t>
  </si>
  <si>
    <t>Chlorine</t>
  </si>
  <si>
    <t>Coal gas</t>
  </si>
  <si>
    <t>Coke Oven Gas</t>
  </si>
  <si>
    <t>Combustion products</t>
  </si>
  <si>
    <t>Cyclohexane</t>
  </si>
  <si>
    <t>Digester Gas (Sewage or Biogas)</t>
  </si>
  <si>
    <t>Ethyl Alcohol</t>
  </si>
  <si>
    <t>Ethyl Chloride</t>
  </si>
  <si>
    <t>Ethylene</t>
  </si>
  <si>
    <t>Helium</t>
  </si>
  <si>
    <t>He</t>
  </si>
  <si>
    <t>N-Heptane</t>
  </si>
  <si>
    <t>Hexane</t>
  </si>
  <si>
    <t>Hydrochloric Acid</t>
  </si>
  <si>
    <t>Hydrogen Chloride</t>
  </si>
  <si>
    <t>HCl</t>
  </si>
  <si>
    <t>Hydrogen Sulfide</t>
  </si>
  <si>
    <t>Krypton</t>
  </si>
  <si>
    <t>Methyl Alcohol</t>
  </si>
  <si>
    <t>Methyl Butane</t>
  </si>
  <si>
    <t>Methyl Chloride</t>
  </si>
  <si>
    <t>Neon</t>
  </si>
  <si>
    <t>Ne</t>
  </si>
  <si>
    <t>Nitric oxide</t>
  </si>
  <si>
    <t>NO</t>
  </si>
  <si>
    <t>Nitrogen Dioxide</t>
  </si>
  <si>
    <t>N-Octane</t>
  </si>
  <si>
    <t>Nitrous Oxide</t>
  </si>
  <si>
    <t>Nitrous Trioxide</t>
  </si>
  <si>
    <t>Oxygen</t>
  </si>
  <si>
    <t>Ozone</t>
  </si>
  <si>
    <t>N-Pentane</t>
  </si>
  <si>
    <t>Iso-Pentane</t>
  </si>
  <si>
    <t>Propene (propylene)</t>
  </si>
  <si>
    <t>R-11</t>
  </si>
  <si>
    <t>R-12</t>
  </si>
  <si>
    <t>R-22</t>
  </si>
  <si>
    <t>R-114</t>
  </si>
  <si>
    <t>R-123</t>
  </si>
  <si>
    <t>R-134a</t>
  </si>
  <si>
    <t>Sasol</t>
  </si>
  <si>
    <t>Sulfur</t>
  </si>
  <si>
    <t>S</t>
  </si>
  <si>
    <t>Sulfur Dioxide</t>
  </si>
  <si>
    <t>Sulfur Trioxide</t>
  </si>
  <si>
    <t>Sulfuric Oxide</t>
  </si>
  <si>
    <t>SO</t>
  </si>
  <si>
    <t>Toluene</t>
  </si>
  <si>
    <t>Water Vapor, steam</t>
  </si>
  <si>
    <t>Water gas (bituminous)</t>
  </si>
  <si>
    <t>Xenon</t>
  </si>
  <si>
    <t>Where</t>
  </si>
  <si>
    <t xml:space="preserve">D = </t>
  </si>
  <si>
    <t>Table 4 Densities, Molecular Weight, and Chemical Formulas</t>
  </si>
  <si>
    <t>D = gas specific density (Table 4)</t>
  </si>
  <si>
    <t>V = flow rate in scf/hr,</t>
  </si>
  <si>
    <t>Mass flow rate in lb. per hour</t>
  </si>
  <si>
    <t>W = gas ﬂow rate, kg/hr</t>
  </si>
  <si>
    <t>- SG -</t>
  </si>
  <si>
    <t>Alcohol vapor</t>
  </si>
  <si>
    <t>Arsine</t>
  </si>
  <si>
    <t>Cyclobutane</t>
  </si>
  <si>
    <t>Cyclopentane</t>
  </si>
  <si>
    <t>Cyclopropane</t>
  </si>
  <si>
    <t>Decane</t>
  </si>
  <si>
    <t>Ether vapor</t>
  </si>
  <si>
    <t>Fluorine</t>
  </si>
  <si>
    <t>Hydrofluoric acid</t>
  </si>
  <si>
    <t>Illuminating gas</t>
  </si>
  <si>
    <t>Isobutane</t>
  </si>
  <si>
    <t>Isopentane</t>
  </si>
  <si>
    <t>Marsh gas</t>
  </si>
  <si>
    <t>Mercury vapor</t>
  </si>
  <si>
    <t>0.60 - 0.70</t>
  </si>
  <si>
    <t>Nonane</t>
  </si>
  <si>
    <t>Octane</t>
  </si>
  <si>
    <t>Pentane</t>
  </si>
  <si>
    <t>Toluene-Methylbenzene</t>
  </si>
  <si>
    <t xml:space="preserve"> kW</t>
  </si>
  <si>
    <t>W = mass flow rate in lb. per hour,</t>
  </si>
  <si>
    <t xml:space="preserve"> lb. per hour,</t>
  </si>
  <si>
    <r>
      <t>q</t>
    </r>
    <r>
      <rPr>
        <vertAlign val="subscript"/>
        <sz val="12"/>
        <color theme="1"/>
        <rFont val="Arial"/>
        <family val="2"/>
      </rPr>
      <t>i</t>
    </r>
    <r>
      <rPr>
        <sz val="12"/>
        <color theme="1"/>
        <rFont val="Arial"/>
        <family val="2"/>
      </rPr>
      <t xml:space="preserve"> = heating value of component i, MJ/kg (Table 3)</t>
    </r>
  </si>
  <si>
    <t xml:space="preserve"> kg per hour,</t>
  </si>
  <si>
    <t>F = fraction of heat radiated (Table 2)</t>
  </si>
  <si>
    <t>Value of K at design ﬂare release at any location to which people have access (e.g., at grade below the ﬂare or a service platform of a nearbytower); exposure should be limited to a few seconds, sufﬁcient for escape only</t>
  </si>
  <si>
    <t>SG = Specific Gravity (Table 4)</t>
  </si>
  <si>
    <t>Sizing of a ﬂare stack: simple approach</t>
  </si>
  <si>
    <t>Calculation of stack diameter</t>
  </si>
  <si>
    <t>Mach = design Mach number</t>
  </si>
  <si>
    <t>W = ﬂow rate, kg/h</t>
  </si>
  <si>
    <t>P = pressure at ﬂare tip, kPaA</t>
  </si>
  <si>
    <t>d = ﬂare stack diameter, m</t>
  </si>
  <si>
    <t>z = compressibility of the ﬂowing gas</t>
  </si>
  <si>
    <t>T = temperature of the ﬂowing gas, K</t>
  </si>
  <si>
    <t>k = ratio of speciﬁc heat</t>
  </si>
  <si>
    <t xml:space="preserve">d = </t>
  </si>
  <si>
    <t xml:space="preserve">z = </t>
  </si>
  <si>
    <t xml:space="preserve">k = </t>
  </si>
  <si>
    <t xml:space="preserve">P = </t>
  </si>
  <si>
    <t>Calculation of ﬂame length</t>
  </si>
  <si>
    <t>The ﬂame length is calculated by using the following equation:</t>
  </si>
  <si>
    <t>L = exp(0.4562 * ln(Q) - 5.3603)</t>
  </si>
  <si>
    <t>L = ﬂame length, m</t>
  </si>
  <si>
    <t>Q = heat release, watt</t>
  </si>
  <si>
    <t xml:space="preserve">L = </t>
  </si>
  <si>
    <t>This depends on the actual ﬂow rate of the gas and the wind velocity.</t>
  </si>
  <si>
    <t>F = (22.4 * W * T) / (3600 * 273 * MW)</t>
  </si>
  <si>
    <r>
      <t>F = actual volumetric ﬂow, m</t>
    </r>
    <r>
      <rPr>
        <vertAlign val="superscript"/>
        <sz val="12"/>
        <color theme="1"/>
        <rFont val="Arial"/>
        <family val="2"/>
      </rPr>
      <t>3</t>
    </r>
    <r>
      <rPr>
        <sz val="12"/>
        <color theme="1"/>
        <rFont val="Arial"/>
        <family val="2"/>
      </rPr>
      <t>/sec</t>
    </r>
  </si>
  <si>
    <t xml:space="preserve">F = </t>
  </si>
  <si>
    <t xml:space="preserve">MW = </t>
  </si>
  <si>
    <t>W = mass ﬂow rate, kg/h (Table 4)</t>
  </si>
  <si>
    <t>The ﬂare tip exit velocity is calculated as follows:</t>
  </si>
  <si>
    <t>Flame distortion caused by wind velocity:</t>
  </si>
  <si>
    <r>
      <t>U</t>
    </r>
    <r>
      <rPr>
        <vertAlign val="subscript"/>
        <sz val="12"/>
        <color theme="1"/>
        <rFont val="Arial"/>
        <family val="2"/>
      </rPr>
      <t>j</t>
    </r>
    <r>
      <rPr>
        <sz val="12"/>
        <color theme="1"/>
        <rFont val="Arial"/>
        <family val="2"/>
      </rPr>
      <t xml:space="preserve"> = ﬂare tip exit velocity, m/sec</t>
    </r>
  </si>
  <si>
    <r>
      <t>U</t>
    </r>
    <r>
      <rPr>
        <vertAlign val="subscript"/>
        <sz val="12"/>
        <color theme="1"/>
        <rFont val="Arial"/>
        <family val="2"/>
      </rPr>
      <t>j</t>
    </r>
    <r>
      <rPr>
        <sz val="12"/>
        <color theme="1"/>
        <rFont val="Arial"/>
        <family val="2"/>
      </rPr>
      <t xml:space="preserve"> = </t>
    </r>
  </si>
  <si>
    <t>Actual Volumetric Fow</t>
  </si>
  <si>
    <t>Flame distortion caused by wind velocity is calculated as follows</t>
  </si>
  <si>
    <t>Provided</t>
  </si>
  <si>
    <t>Calculated</t>
  </si>
  <si>
    <t>Rating</t>
  </si>
  <si>
    <t>scf/hr</t>
  </si>
  <si>
    <t>Diameter</t>
  </si>
  <si>
    <t>Meters</t>
  </si>
  <si>
    <t>MW = molecular weight of the ﬂowing gas (Table 4)</t>
  </si>
  <si>
    <r>
      <t>m</t>
    </r>
    <r>
      <rPr>
        <vertAlign val="superscript"/>
        <sz val="12"/>
        <color theme="1"/>
        <rFont val="Arial"/>
        <family val="2"/>
      </rPr>
      <t>3</t>
    </r>
    <r>
      <rPr>
        <sz val="12"/>
        <color theme="1"/>
        <rFont val="Arial"/>
        <family val="2"/>
      </rPr>
      <t>/sec</t>
    </r>
  </si>
  <si>
    <t>Gas or Vapor</t>
  </si>
  <si>
    <t>Specific Heat</t>
  </si>
  <si>
    <t>Ratio of Specific Heats</t>
  </si>
  <si>
    <t>Individual Gas constant</t>
  </si>
  <si>
    <t>- R -</t>
  </si>
  <si>
    <t>(kJ/kg K)</t>
  </si>
  <si>
    <t>κ =</t>
  </si>
  <si>
    <t>Acetone</t>
  </si>
  <si>
    <t>Acetylene</t>
  </si>
  <si>
    <t>Alcohol</t>
  </si>
  <si>
    <t>Bromine</t>
  </si>
  <si>
    <t>Butatiene</t>
  </si>
  <si>
    <t>Chloroform</t>
  </si>
  <si>
    <t>Ether</t>
  </si>
  <si>
    <t>Freon 22</t>
  </si>
  <si>
    <t>Hydrochlor acid</t>
  </si>
  <si>
    <t>Hydroxyl</t>
  </si>
  <si>
    <t>OH</t>
  </si>
  <si>
    <t>Natural Gas</t>
  </si>
  <si>
    <t>Nitric Oxide</t>
  </si>
  <si>
    <t>Nitrogen tetroxide</t>
  </si>
  <si>
    <t>Nitrous oxide</t>
  </si>
  <si>
    <t>Water Vapor</t>
  </si>
  <si>
    <t>Sulfur dioxide (Sulphur dioxide)</t>
  </si>
  <si>
    <t xml:space="preserve">Mach = </t>
  </si>
  <si>
    <r>
      <t>U = U</t>
    </r>
    <r>
      <rPr>
        <vertAlign val="subscript"/>
        <sz val="12"/>
        <color theme="1"/>
        <rFont val="Arial"/>
        <family val="2"/>
      </rPr>
      <t>x</t>
    </r>
    <r>
      <rPr>
        <sz val="12"/>
        <color theme="1"/>
        <rFont val="Arial"/>
        <family val="2"/>
      </rPr>
      <t xml:space="preserve"> / U</t>
    </r>
    <r>
      <rPr>
        <vertAlign val="subscript"/>
        <sz val="12"/>
        <color theme="1"/>
        <rFont val="Arial"/>
        <family val="2"/>
      </rPr>
      <t>j</t>
    </r>
  </si>
  <si>
    <t>U = velocity factor</t>
  </si>
  <si>
    <r>
      <t>U</t>
    </r>
    <r>
      <rPr>
        <vertAlign val="subscript"/>
        <sz val="12"/>
        <color theme="1"/>
        <rFont val="Arial"/>
        <family val="2"/>
      </rPr>
      <t>x</t>
    </r>
    <r>
      <rPr>
        <sz val="12"/>
        <color theme="1"/>
        <rFont val="Arial"/>
        <family val="2"/>
      </rPr>
      <t xml:space="preserve"> = wind velocity, m/sec</t>
    </r>
  </si>
  <si>
    <t xml:space="preserve">U = </t>
  </si>
  <si>
    <r>
      <t>U</t>
    </r>
    <r>
      <rPr>
        <vertAlign val="subscript"/>
        <sz val="12"/>
        <color theme="1"/>
        <rFont val="Arial"/>
        <family val="2"/>
      </rPr>
      <t>x</t>
    </r>
    <r>
      <rPr>
        <sz val="12"/>
        <color theme="1"/>
        <rFont val="Arial"/>
        <family val="2"/>
      </rPr>
      <t xml:space="preserve"> = </t>
    </r>
  </si>
  <si>
    <t>Flame vertical length, Δy, is estimated by using the following equation</t>
  </si>
  <si>
    <t xml:space="preserve">Δy = </t>
  </si>
  <si>
    <r>
      <t>Δx = L * [ 0.9402 + (0.1067 / U</t>
    </r>
    <r>
      <rPr>
        <vertAlign val="superscript"/>
        <sz val="12"/>
        <color theme="1"/>
        <rFont val="Arial"/>
        <family val="2"/>
      </rPr>
      <t>0.5</t>
    </r>
    <r>
      <rPr>
        <sz val="12"/>
        <color theme="1"/>
        <rFont val="Arial"/>
        <family val="2"/>
      </rPr>
      <t>) - ( 0.0165 / U) + (0.0038 / U</t>
    </r>
    <r>
      <rPr>
        <vertAlign val="superscript"/>
        <sz val="12"/>
        <color theme="1"/>
        <rFont val="Arial"/>
        <family val="2"/>
      </rPr>
      <t>1.5</t>
    </r>
    <r>
      <rPr>
        <sz val="12"/>
        <color theme="1"/>
        <rFont val="Arial"/>
        <family val="2"/>
      </rPr>
      <t>)]</t>
    </r>
    <r>
      <rPr>
        <vertAlign val="superscript"/>
        <sz val="12"/>
        <color theme="1"/>
        <rFont val="Arial"/>
        <family val="2"/>
      </rPr>
      <t>-1.0</t>
    </r>
  </si>
  <si>
    <t>Δy = Flame vertical length</t>
  </si>
  <si>
    <t xml:space="preserve">Δx = </t>
  </si>
  <si>
    <t>W = V * D</t>
  </si>
  <si>
    <r>
      <t>Uj = (4 *F) / (Pi * d</t>
    </r>
    <r>
      <rPr>
        <vertAlign val="superscript"/>
        <sz val="12"/>
        <color theme="1"/>
        <rFont val="Arial"/>
        <family val="2"/>
      </rPr>
      <t>2</t>
    </r>
    <r>
      <rPr>
        <sz val="12"/>
        <color theme="1"/>
        <rFont val="Arial"/>
        <family val="2"/>
      </rPr>
      <t>)</t>
    </r>
  </si>
  <si>
    <t>Fame horizontal length, Δx, is estimated by using the following equation</t>
  </si>
  <si>
    <t>Mach #</t>
  </si>
  <si>
    <t>Pressure at ﬂare tip, kPaA</t>
  </si>
  <si>
    <t>Provided by Applicant</t>
  </si>
  <si>
    <t>Flowing Gas Temp. K</t>
  </si>
  <si>
    <t>Modeling Parameters</t>
  </si>
  <si>
    <t>Eff. Stack Height</t>
  </si>
  <si>
    <t>Temperature</t>
  </si>
  <si>
    <t>F</t>
  </si>
  <si>
    <r>
      <t>Δy = L * [ -0.0392 + (0.1267 / U</t>
    </r>
    <r>
      <rPr>
        <vertAlign val="superscript"/>
        <sz val="12"/>
        <color theme="1"/>
        <rFont val="Arial"/>
        <family val="2"/>
      </rPr>
      <t>0.5</t>
    </r>
    <r>
      <rPr>
        <sz val="12"/>
        <color theme="1"/>
        <rFont val="Arial"/>
        <family val="2"/>
      </rPr>
      <t>) + ( 0.0178 / U) - (0.003 / U</t>
    </r>
    <r>
      <rPr>
        <vertAlign val="superscript"/>
        <sz val="12"/>
        <color theme="1"/>
        <rFont val="Arial"/>
        <family val="2"/>
      </rPr>
      <t>1.5</t>
    </r>
    <r>
      <rPr>
        <sz val="12"/>
        <color theme="1"/>
        <rFont val="Arial"/>
        <family val="2"/>
      </rPr>
      <t>)]</t>
    </r>
  </si>
  <si>
    <t>Δx = Flame horizontal length</t>
  </si>
  <si>
    <t>The center of the ﬂame from the top of the ﬂare stack can be calculatedas follows:</t>
  </si>
  <si>
    <t>Flame Center</t>
  </si>
  <si>
    <r>
      <t>x</t>
    </r>
    <r>
      <rPr>
        <vertAlign val="subscript"/>
        <sz val="12"/>
        <color theme="1"/>
        <rFont val="Arial"/>
        <family val="2"/>
      </rPr>
      <t>c</t>
    </r>
    <r>
      <rPr>
        <sz val="12"/>
        <color theme="1"/>
        <rFont val="Arial"/>
        <family val="2"/>
      </rPr>
      <t xml:space="preserve"> = horizontal distance of ﬂame center from the top of ﬂare stack, m</t>
    </r>
  </si>
  <si>
    <r>
      <t>y</t>
    </r>
    <r>
      <rPr>
        <vertAlign val="subscript"/>
        <sz val="12"/>
        <color theme="1"/>
        <rFont val="Arial"/>
        <family val="2"/>
      </rPr>
      <t>c</t>
    </r>
    <r>
      <rPr>
        <sz val="12"/>
        <color theme="1"/>
        <rFont val="Arial"/>
        <family val="2"/>
      </rPr>
      <t xml:space="preserve"> = vertical distance of ﬂame center from the top of ﬂare stack, m</t>
    </r>
  </si>
  <si>
    <r>
      <t>y</t>
    </r>
    <r>
      <rPr>
        <vertAlign val="subscript"/>
        <sz val="12"/>
        <color theme="1"/>
        <rFont val="Arial"/>
        <family val="2"/>
      </rPr>
      <t>c</t>
    </r>
    <r>
      <rPr>
        <sz val="12"/>
        <color theme="1"/>
        <rFont val="Arial"/>
        <family val="2"/>
      </rPr>
      <t xml:space="preserve"> = 1/2 * Δy</t>
    </r>
  </si>
  <si>
    <r>
      <t>x</t>
    </r>
    <r>
      <rPr>
        <vertAlign val="subscript"/>
        <sz val="12"/>
        <color theme="1"/>
        <rFont val="Arial"/>
        <family val="2"/>
      </rPr>
      <t>c</t>
    </r>
    <r>
      <rPr>
        <sz val="12"/>
        <color theme="1"/>
        <rFont val="Arial"/>
        <family val="2"/>
      </rPr>
      <t xml:space="preserve"> = 1/2 * Δx</t>
    </r>
  </si>
  <si>
    <r>
      <t>y</t>
    </r>
    <r>
      <rPr>
        <vertAlign val="subscript"/>
        <sz val="12"/>
        <color theme="1"/>
        <rFont val="Arial"/>
        <family val="2"/>
      </rPr>
      <t>c</t>
    </r>
    <r>
      <rPr>
        <sz val="12"/>
        <color theme="1"/>
        <rFont val="Arial"/>
        <family val="2"/>
      </rPr>
      <t xml:space="preserve"> = </t>
    </r>
  </si>
  <si>
    <r>
      <t>x</t>
    </r>
    <r>
      <rPr>
        <vertAlign val="subscript"/>
        <sz val="12"/>
        <color theme="1"/>
        <rFont val="Arial"/>
        <family val="2"/>
      </rPr>
      <t>c</t>
    </r>
    <r>
      <rPr>
        <sz val="12"/>
        <color theme="1"/>
        <rFont val="Arial"/>
        <family val="2"/>
      </rPr>
      <t xml:space="preserve"> = </t>
    </r>
  </si>
  <si>
    <t xml:space="preserve">Wind </t>
  </si>
  <si>
    <t>L</t>
  </si>
  <si>
    <t xml:space="preserve">Δx </t>
  </si>
  <si>
    <t>Δy</t>
  </si>
  <si>
    <r>
      <t>y</t>
    </r>
    <r>
      <rPr>
        <b/>
        <vertAlign val="subscript"/>
        <sz val="10"/>
        <color theme="1"/>
        <rFont val="Arial"/>
        <family val="2"/>
      </rPr>
      <t>c</t>
    </r>
  </si>
  <si>
    <t>Dia.</t>
  </si>
  <si>
    <r>
      <t>x</t>
    </r>
    <r>
      <rPr>
        <b/>
        <vertAlign val="subscript"/>
        <sz val="10"/>
        <color theme="1"/>
        <rFont val="Arial"/>
        <family val="2"/>
      </rPr>
      <t>c</t>
    </r>
  </si>
  <si>
    <t>D</t>
  </si>
  <si>
    <t>Default Parameters</t>
  </si>
  <si>
    <r>
      <t>H</t>
    </r>
    <r>
      <rPr>
        <vertAlign val="subscript"/>
        <sz val="10"/>
        <color theme="1"/>
        <rFont val="Arial"/>
        <family val="2"/>
      </rPr>
      <t>eff</t>
    </r>
  </si>
  <si>
    <r>
      <t>H</t>
    </r>
    <r>
      <rPr>
        <b/>
        <vertAlign val="superscript"/>
        <sz val="10"/>
        <color theme="1"/>
        <rFont val="Arial"/>
        <family val="2"/>
      </rPr>
      <t>1</t>
    </r>
  </si>
  <si>
    <r>
      <t>R</t>
    </r>
    <r>
      <rPr>
        <b/>
        <vertAlign val="superscript"/>
        <sz val="10"/>
        <color theme="1"/>
        <rFont val="Arial"/>
        <family val="2"/>
      </rPr>
      <t>1</t>
    </r>
  </si>
  <si>
    <t>Allowable radiation, kW/m2 (Table 1)</t>
  </si>
  <si>
    <t>Fraction of heat radiated (Table 2)</t>
  </si>
  <si>
    <t>Heating value of component i, MJ/kg (Table 3)</t>
  </si>
  <si>
    <t>Gas specific density (Table 4)</t>
  </si>
  <si>
    <t>Molecular weight of the ﬂowing gas (Table 4)</t>
  </si>
  <si>
    <r>
      <t xml:space="preserve"> (kW/m</t>
    </r>
    <r>
      <rPr>
        <vertAlign val="superscript"/>
        <sz val="10"/>
        <color rgb="FF231F20"/>
        <rFont val="Arial"/>
        <family val="2"/>
      </rPr>
      <t>2</t>
    </r>
    <r>
      <rPr>
        <sz val="10"/>
        <color rgb="FF231F20"/>
        <rFont val="Arial"/>
        <family val="2"/>
      </rPr>
      <t>)</t>
    </r>
    <r>
      <rPr>
        <vertAlign val="superscript"/>
        <sz val="10"/>
        <color rgb="FF231F20"/>
        <rFont val="Arial"/>
        <family val="2"/>
      </rPr>
      <t>a</t>
    </r>
  </si>
  <si>
    <r>
      <rPr>
        <vertAlign val="superscript"/>
        <sz val="10"/>
        <color rgb="FF231F20"/>
        <rFont val="Arial"/>
        <family val="2"/>
      </rPr>
      <t>a</t>
    </r>
    <r>
      <rPr>
        <sz val="10"/>
        <color rgb="FF231F20"/>
        <rFont val="Arial"/>
        <family val="2"/>
      </rPr>
      <t xml:space="preserve"> Includes solar radiation from 0.79 to 1.04 kW/m</t>
    </r>
  </si>
  <si>
    <r>
      <t>Specific Gravity</t>
    </r>
    <r>
      <rPr>
        <vertAlign val="superscript"/>
        <sz val="10"/>
        <color theme="1"/>
        <rFont val="Arial"/>
        <family val="2"/>
      </rPr>
      <t>1)</t>
    </r>
  </si>
  <si>
    <r>
      <t>(kg/m</t>
    </r>
    <r>
      <rPr>
        <i/>
        <vertAlign val="superscript"/>
        <sz val="10"/>
        <color theme="1"/>
        <rFont val="Arial"/>
        <family val="2"/>
      </rPr>
      <t>3</t>
    </r>
    <r>
      <rPr>
        <i/>
        <sz val="10"/>
        <color theme="1"/>
        <rFont val="Arial"/>
        <family val="2"/>
      </rPr>
      <t>)</t>
    </r>
  </si>
  <si>
    <r>
      <t>(lb</t>
    </r>
    <r>
      <rPr>
        <i/>
        <vertAlign val="subscript"/>
        <sz val="10"/>
        <color theme="1"/>
        <rFont val="Arial"/>
        <family val="2"/>
      </rPr>
      <t>m</t>
    </r>
    <r>
      <rPr>
        <i/>
        <sz val="10"/>
        <color theme="1"/>
        <rFont val="Arial"/>
        <family val="2"/>
      </rPr>
      <t>/ft</t>
    </r>
    <r>
      <rPr>
        <i/>
        <vertAlign val="superscript"/>
        <sz val="10"/>
        <color theme="1"/>
        <rFont val="Arial"/>
        <family val="2"/>
      </rPr>
      <t>3</t>
    </r>
    <r>
      <rPr>
        <i/>
        <sz val="10"/>
        <color theme="1"/>
        <rFont val="Arial"/>
        <family val="2"/>
      </rPr>
      <t>)</t>
    </r>
  </si>
  <si>
    <r>
      <t>C</t>
    </r>
    <r>
      <rPr>
        <i/>
        <vertAlign val="subscript"/>
        <sz val="10"/>
        <color theme="1"/>
        <rFont val="Arial"/>
        <family val="2"/>
      </rPr>
      <t>2</t>
    </r>
    <r>
      <rPr>
        <i/>
        <sz val="10"/>
        <color theme="1"/>
        <rFont val="Arial"/>
        <family val="2"/>
      </rPr>
      <t>H</t>
    </r>
    <r>
      <rPr>
        <i/>
        <vertAlign val="subscript"/>
        <sz val="10"/>
        <color theme="1"/>
        <rFont val="Arial"/>
        <family val="2"/>
      </rPr>
      <t>2</t>
    </r>
  </si>
  <si>
    <r>
      <t>1.092</t>
    </r>
    <r>
      <rPr>
        <vertAlign val="superscript"/>
        <sz val="10"/>
        <color theme="1"/>
        <rFont val="Arial"/>
        <family val="2"/>
      </rPr>
      <t>1)</t>
    </r>
  </si>
  <si>
    <r>
      <t>0.0682</t>
    </r>
    <r>
      <rPr>
        <vertAlign val="superscript"/>
        <sz val="10"/>
        <color theme="1"/>
        <rFont val="Arial"/>
        <family val="2"/>
      </rPr>
      <t>1)</t>
    </r>
  </si>
  <si>
    <r>
      <t>1.170</t>
    </r>
    <r>
      <rPr>
        <vertAlign val="superscript"/>
        <sz val="10"/>
        <color theme="1"/>
        <rFont val="Arial"/>
        <family val="2"/>
      </rPr>
      <t>2)</t>
    </r>
  </si>
  <si>
    <r>
      <t>0.0729</t>
    </r>
    <r>
      <rPr>
        <vertAlign val="superscript"/>
        <sz val="10"/>
        <color theme="1"/>
        <rFont val="Arial"/>
        <family val="2"/>
      </rPr>
      <t>2)</t>
    </r>
  </si>
  <si>
    <r>
      <t>1.205</t>
    </r>
    <r>
      <rPr>
        <vertAlign val="superscript"/>
        <sz val="10"/>
        <color theme="1"/>
        <rFont val="Arial"/>
        <family val="2"/>
      </rPr>
      <t>1)</t>
    </r>
  </si>
  <si>
    <r>
      <t>0.0752</t>
    </r>
    <r>
      <rPr>
        <vertAlign val="superscript"/>
        <sz val="10"/>
        <color theme="1"/>
        <rFont val="Arial"/>
        <family val="2"/>
      </rPr>
      <t>1)</t>
    </r>
  </si>
  <si>
    <r>
      <t>1</t>
    </r>
    <r>
      <rPr>
        <vertAlign val="superscript"/>
        <sz val="10"/>
        <color theme="1"/>
        <rFont val="Arial"/>
        <family val="2"/>
      </rPr>
      <t>1)</t>
    </r>
  </si>
  <si>
    <r>
      <t>1.293</t>
    </r>
    <r>
      <rPr>
        <vertAlign val="superscript"/>
        <sz val="10"/>
        <color theme="1"/>
        <rFont val="Arial"/>
        <family val="2"/>
      </rPr>
      <t>2)</t>
    </r>
  </si>
  <si>
    <r>
      <t>0.0806</t>
    </r>
    <r>
      <rPr>
        <vertAlign val="superscript"/>
        <sz val="10"/>
        <color theme="1"/>
        <rFont val="Arial"/>
        <family val="2"/>
      </rPr>
      <t>2)</t>
    </r>
  </si>
  <si>
    <r>
      <t>NH</t>
    </r>
    <r>
      <rPr>
        <i/>
        <vertAlign val="subscript"/>
        <sz val="10"/>
        <color theme="1"/>
        <rFont val="Arial"/>
        <family val="2"/>
      </rPr>
      <t>3</t>
    </r>
  </si>
  <si>
    <r>
      <t>0.717</t>
    </r>
    <r>
      <rPr>
        <vertAlign val="superscript"/>
        <sz val="10"/>
        <color theme="1"/>
        <rFont val="Arial"/>
        <family val="2"/>
      </rPr>
      <t>1)</t>
    </r>
  </si>
  <si>
    <r>
      <t>0.0448</t>
    </r>
    <r>
      <rPr>
        <vertAlign val="superscript"/>
        <sz val="10"/>
        <color theme="1"/>
        <rFont val="Arial"/>
        <family val="2"/>
      </rPr>
      <t>1)</t>
    </r>
  </si>
  <si>
    <r>
      <t>0.769</t>
    </r>
    <r>
      <rPr>
        <vertAlign val="superscript"/>
        <sz val="10"/>
        <color theme="1"/>
        <rFont val="Arial"/>
        <family val="2"/>
      </rPr>
      <t>2)</t>
    </r>
  </si>
  <si>
    <r>
      <t>0.0480</t>
    </r>
    <r>
      <rPr>
        <vertAlign val="superscript"/>
        <sz val="10"/>
        <color theme="1"/>
        <rFont val="Arial"/>
        <family val="2"/>
      </rPr>
      <t>2)</t>
    </r>
  </si>
  <si>
    <r>
      <t>1.661</t>
    </r>
    <r>
      <rPr>
        <vertAlign val="superscript"/>
        <sz val="10"/>
        <color theme="1"/>
        <rFont val="Arial"/>
        <family val="2"/>
      </rPr>
      <t>1)</t>
    </r>
  </si>
  <si>
    <r>
      <t>0.1037</t>
    </r>
    <r>
      <rPr>
        <vertAlign val="superscript"/>
        <sz val="10"/>
        <color theme="1"/>
        <rFont val="Arial"/>
        <family val="2"/>
      </rPr>
      <t>1)</t>
    </r>
  </si>
  <si>
    <r>
      <t>1.7837</t>
    </r>
    <r>
      <rPr>
        <vertAlign val="superscript"/>
        <sz val="10"/>
        <color theme="1"/>
        <rFont val="Arial"/>
        <family val="2"/>
      </rPr>
      <t>2)</t>
    </r>
  </si>
  <si>
    <r>
      <t>0.111353</t>
    </r>
    <r>
      <rPr>
        <vertAlign val="superscript"/>
        <sz val="10"/>
        <color theme="1"/>
        <rFont val="Arial"/>
        <family val="2"/>
      </rPr>
      <t>2)</t>
    </r>
  </si>
  <si>
    <r>
      <t>C</t>
    </r>
    <r>
      <rPr>
        <i/>
        <vertAlign val="subscript"/>
        <sz val="10"/>
        <color theme="1"/>
        <rFont val="Arial"/>
        <family val="2"/>
      </rPr>
      <t>6</t>
    </r>
    <r>
      <rPr>
        <i/>
        <sz val="10"/>
        <color theme="1"/>
        <rFont val="Arial"/>
        <family val="2"/>
      </rPr>
      <t>H</t>
    </r>
    <r>
      <rPr>
        <i/>
        <vertAlign val="subscript"/>
        <sz val="10"/>
        <color theme="1"/>
        <rFont val="Arial"/>
        <family val="2"/>
      </rPr>
      <t>6</t>
    </r>
  </si>
  <si>
    <r>
      <t>1.250</t>
    </r>
    <r>
      <rPr>
        <vertAlign val="superscript"/>
        <sz val="10"/>
        <color theme="1"/>
        <rFont val="Arial"/>
        <family val="2"/>
      </rPr>
      <t>2)</t>
    </r>
  </si>
  <si>
    <r>
      <t>0.0780</t>
    </r>
    <r>
      <rPr>
        <vertAlign val="superscript"/>
        <sz val="10"/>
        <color theme="1"/>
        <rFont val="Arial"/>
        <family val="2"/>
      </rPr>
      <t>2)</t>
    </r>
  </si>
  <si>
    <r>
      <t>Butadiene - C</t>
    </r>
    <r>
      <rPr>
        <vertAlign val="subscript"/>
        <sz val="10"/>
        <color theme="1"/>
        <rFont val="Arial"/>
        <family val="2"/>
      </rPr>
      <t>4</t>
    </r>
    <r>
      <rPr>
        <sz val="10"/>
        <color theme="1"/>
        <rFont val="Arial"/>
        <family val="2"/>
      </rPr>
      <t>H</t>
    </r>
    <r>
      <rPr>
        <vertAlign val="subscript"/>
        <sz val="10"/>
        <color theme="1"/>
        <rFont val="Arial"/>
        <family val="2"/>
      </rPr>
      <t>6</t>
    </r>
  </si>
  <si>
    <r>
      <t>C</t>
    </r>
    <r>
      <rPr>
        <vertAlign val="subscript"/>
        <sz val="10"/>
        <color theme="1"/>
        <rFont val="Arial"/>
        <family val="2"/>
      </rPr>
      <t>4</t>
    </r>
    <r>
      <rPr>
        <sz val="10"/>
        <color theme="1"/>
        <rFont val="Arial"/>
        <family val="2"/>
      </rPr>
      <t>H</t>
    </r>
    <r>
      <rPr>
        <vertAlign val="subscript"/>
        <sz val="10"/>
        <color theme="1"/>
        <rFont val="Arial"/>
        <family val="2"/>
      </rPr>
      <t>6</t>
    </r>
  </si>
  <si>
    <r>
      <t>C</t>
    </r>
    <r>
      <rPr>
        <i/>
        <vertAlign val="subscript"/>
        <sz val="10"/>
        <color theme="1"/>
        <rFont val="Arial"/>
        <family val="2"/>
      </rPr>
      <t>4</t>
    </r>
    <r>
      <rPr>
        <i/>
        <sz val="10"/>
        <color theme="1"/>
        <rFont val="Arial"/>
        <family val="2"/>
      </rPr>
      <t>H</t>
    </r>
    <r>
      <rPr>
        <i/>
        <vertAlign val="subscript"/>
        <sz val="10"/>
        <color theme="1"/>
        <rFont val="Arial"/>
        <family val="2"/>
      </rPr>
      <t>10</t>
    </r>
  </si>
  <si>
    <r>
      <t>2.489</t>
    </r>
    <r>
      <rPr>
        <vertAlign val="superscript"/>
        <sz val="10"/>
        <color theme="1"/>
        <rFont val="Arial"/>
        <family val="2"/>
      </rPr>
      <t>1)</t>
    </r>
  </si>
  <si>
    <r>
      <t>0.1554</t>
    </r>
    <r>
      <rPr>
        <vertAlign val="superscript"/>
        <sz val="10"/>
        <color theme="1"/>
        <rFont val="Arial"/>
        <family val="2"/>
      </rPr>
      <t>1)</t>
    </r>
  </si>
  <si>
    <r>
      <t>2.5</t>
    </r>
    <r>
      <rPr>
        <vertAlign val="superscript"/>
        <sz val="10"/>
        <color theme="1"/>
        <rFont val="Arial"/>
        <family val="2"/>
      </rPr>
      <t>2)</t>
    </r>
  </si>
  <si>
    <r>
      <t>0.156</t>
    </r>
    <r>
      <rPr>
        <vertAlign val="superscript"/>
        <sz val="10"/>
        <color theme="1"/>
        <rFont val="Arial"/>
        <family val="2"/>
      </rPr>
      <t>2)</t>
    </r>
  </si>
  <si>
    <r>
      <t>C</t>
    </r>
    <r>
      <rPr>
        <i/>
        <vertAlign val="subscript"/>
        <sz val="10"/>
        <color theme="1"/>
        <rFont val="Arial"/>
        <family val="2"/>
      </rPr>
      <t>4</t>
    </r>
    <r>
      <rPr>
        <i/>
        <sz val="10"/>
        <color theme="1"/>
        <rFont val="Arial"/>
        <family val="2"/>
      </rPr>
      <t>H</t>
    </r>
    <r>
      <rPr>
        <i/>
        <vertAlign val="subscript"/>
        <sz val="10"/>
        <color theme="1"/>
        <rFont val="Arial"/>
        <family val="2"/>
      </rPr>
      <t>8</t>
    </r>
  </si>
  <si>
    <r>
      <t>0.148</t>
    </r>
    <r>
      <rPr>
        <vertAlign val="superscript"/>
        <sz val="10"/>
        <color theme="1"/>
        <rFont val="Arial"/>
        <family val="2"/>
      </rPr>
      <t>2)</t>
    </r>
  </si>
  <si>
    <r>
      <t>CO</t>
    </r>
    <r>
      <rPr>
        <i/>
        <vertAlign val="subscript"/>
        <sz val="10"/>
        <color theme="1"/>
        <rFont val="Arial"/>
        <family val="2"/>
      </rPr>
      <t>2</t>
    </r>
  </si>
  <si>
    <r>
      <t>1.842</t>
    </r>
    <r>
      <rPr>
        <vertAlign val="superscript"/>
        <sz val="10"/>
        <color theme="1"/>
        <rFont val="Arial"/>
        <family val="2"/>
      </rPr>
      <t>1)</t>
    </r>
  </si>
  <si>
    <r>
      <t>0.1150</t>
    </r>
    <r>
      <rPr>
        <vertAlign val="superscript"/>
        <sz val="10"/>
        <color theme="1"/>
        <rFont val="Arial"/>
        <family val="2"/>
      </rPr>
      <t>1)</t>
    </r>
  </si>
  <si>
    <r>
      <t>1.977</t>
    </r>
    <r>
      <rPr>
        <vertAlign val="superscript"/>
        <sz val="10"/>
        <color theme="1"/>
        <rFont val="Arial"/>
        <family val="2"/>
      </rPr>
      <t>2)</t>
    </r>
  </si>
  <si>
    <r>
      <t>0.1234</t>
    </r>
    <r>
      <rPr>
        <vertAlign val="superscript"/>
        <sz val="10"/>
        <color theme="1"/>
        <rFont val="Arial"/>
        <family val="2"/>
      </rPr>
      <t>2)</t>
    </r>
  </si>
  <si>
    <r>
      <t>1.165</t>
    </r>
    <r>
      <rPr>
        <vertAlign val="superscript"/>
        <sz val="10"/>
        <color theme="1"/>
        <rFont val="Arial"/>
        <family val="2"/>
      </rPr>
      <t>1)</t>
    </r>
  </si>
  <si>
    <r>
      <t>0.0727</t>
    </r>
    <r>
      <rPr>
        <vertAlign val="superscript"/>
        <sz val="10"/>
        <color theme="1"/>
        <rFont val="Arial"/>
        <family val="2"/>
      </rPr>
      <t>1)</t>
    </r>
  </si>
  <si>
    <r>
      <t>Cl</t>
    </r>
    <r>
      <rPr>
        <i/>
        <vertAlign val="subscript"/>
        <sz val="10"/>
        <color theme="1"/>
        <rFont val="Arial"/>
        <family val="2"/>
      </rPr>
      <t>2</t>
    </r>
  </si>
  <si>
    <r>
      <t>2.994</t>
    </r>
    <r>
      <rPr>
        <vertAlign val="superscript"/>
        <sz val="10"/>
        <color theme="1"/>
        <rFont val="Arial"/>
        <family val="2"/>
      </rPr>
      <t>1)</t>
    </r>
  </si>
  <si>
    <r>
      <t>0.1869</t>
    </r>
    <r>
      <rPr>
        <vertAlign val="superscript"/>
        <sz val="10"/>
        <color theme="1"/>
        <rFont val="Arial"/>
        <family val="2"/>
      </rPr>
      <t>1)</t>
    </r>
  </si>
  <si>
    <r>
      <t>0.58</t>
    </r>
    <r>
      <rPr>
        <vertAlign val="superscript"/>
        <sz val="10"/>
        <color theme="1"/>
        <rFont val="Arial"/>
        <family val="2"/>
      </rPr>
      <t>2)</t>
    </r>
  </si>
  <si>
    <r>
      <t>0.034</t>
    </r>
    <r>
      <rPr>
        <vertAlign val="superscript"/>
        <sz val="10"/>
        <color theme="1"/>
        <rFont val="Arial"/>
        <family val="2"/>
      </rPr>
      <t>2)</t>
    </r>
  </si>
  <si>
    <r>
      <t>1.11</t>
    </r>
    <r>
      <rPr>
        <vertAlign val="superscript"/>
        <sz val="10"/>
        <color theme="1"/>
        <rFont val="Arial"/>
        <family val="2"/>
      </rPr>
      <t>2)</t>
    </r>
  </si>
  <si>
    <r>
      <t>0.069</t>
    </r>
    <r>
      <rPr>
        <vertAlign val="superscript"/>
        <sz val="10"/>
        <color theme="1"/>
        <rFont val="Arial"/>
        <family val="2"/>
      </rPr>
      <t>2)</t>
    </r>
  </si>
  <si>
    <r>
      <t>Deutrium - D</t>
    </r>
    <r>
      <rPr>
        <vertAlign val="subscript"/>
        <sz val="10"/>
        <color theme="1"/>
        <rFont val="Arial"/>
        <family val="2"/>
      </rPr>
      <t>2</t>
    </r>
  </si>
  <si>
    <r>
      <t>C</t>
    </r>
    <r>
      <rPr>
        <i/>
        <vertAlign val="subscript"/>
        <sz val="10"/>
        <color theme="1"/>
        <rFont val="Arial"/>
        <family val="2"/>
      </rPr>
      <t>2</t>
    </r>
    <r>
      <rPr>
        <i/>
        <sz val="10"/>
        <color theme="1"/>
        <rFont val="Arial"/>
        <family val="2"/>
      </rPr>
      <t>H</t>
    </r>
    <r>
      <rPr>
        <i/>
        <vertAlign val="subscript"/>
        <sz val="10"/>
        <color theme="1"/>
        <rFont val="Arial"/>
        <family val="2"/>
      </rPr>
      <t>6</t>
    </r>
  </si>
  <si>
    <r>
      <t>1.264</t>
    </r>
    <r>
      <rPr>
        <vertAlign val="superscript"/>
        <sz val="10"/>
        <color theme="1"/>
        <rFont val="Arial"/>
        <family val="2"/>
      </rPr>
      <t>1)</t>
    </r>
  </si>
  <si>
    <r>
      <t>0.0789</t>
    </r>
    <r>
      <rPr>
        <vertAlign val="superscript"/>
        <sz val="10"/>
        <color theme="1"/>
        <rFont val="Arial"/>
        <family val="2"/>
      </rPr>
      <t>1)</t>
    </r>
  </si>
  <si>
    <r>
      <t>C</t>
    </r>
    <r>
      <rPr>
        <vertAlign val="subscript"/>
        <sz val="10"/>
        <color theme="1"/>
        <rFont val="Arial"/>
        <family val="2"/>
      </rPr>
      <t>2</t>
    </r>
    <r>
      <rPr>
        <sz val="10"/>
        <color theme="1"/>
        <rFont val="Arial"/>
        <family val="2"/>
      </rPr>
      <t>H</t>
    </r>
    <r>
      <rPr>
        <vertAlign val="subscript"/>
        <sz val="10"/>
        <color theme="1"/>
        <rFont val="Arial"/>
        <family val="2"/>
      </rPr>
      <t>5</t>
    </r>
    <r>
      <rPr>
        <sz val="10"/>
        <color theme="1"/>
        <rFont val="Arial"/>
        <family val="2"/>
      </rPr>
      <t>Cl</t>
    </r>
  </si>
  <si>
    <r>
      <t>C</t>
    </r>
    <r>
      <rPr>
        <i/>
        <vertAlign val="subscript"/>
        <sz val="10"/>
        <color theme="1"/>
        <rFont val="Arial"/>
        <family val="2"/>
      </rPr>
      <t>2</t>
    </r>
    <r>
      <rPr>
        <i/>
        <sz val="10"/>
        <color theme="1"/>
        <rFont val="Arial"/>
        <family val="2"/>
      </rPr>
      <t>H</t>
    </r>
    <r>
      <rPr>
        <i/>
        <vertAlign val="subscript"/>
        <sz val="10"/>
        <color theme="1"/>
        <rFont val="Arial"/>
        <family val="2"/>
      </rPr>
      <t>4</t>
    </r>
  </si>
  <si>
    <r>
      <t>1.260</t>
    </r>
    <r>
      <rPr>
        <vertAlign val="superscript"/>
        <sz val="10"/>
        <color theme="1"/>
        <rFont val="Arial"/>
        <family val="2"/>
      </rPr>
      <t>2)</t>
    </r>
  </si>
  <si>
    <r>
      <t>0.0786</t>
    </r>
    <r>
      <rPr>
        <vertAlign val="superscript"/>
        <sz val="10"/>
        <color theme="1"/>
        <rFont val="Arial"/>
        <family val="2"/>
      </rPr>
      <t>2)</t>
    </r>
  </si>
  <si>
    <r>
      <t>0.1664</t>
    </r>
    <r>
      <rPr>
        <vertAlign val="superscript"/>
        <sz val="10"/>
        <color theme="1"/>
        <rFont val="Arial"/>
        <family val="2"/>
      </rPr>
      <t>1)</t>
    </r>
  </si>
  <si>
    <r>
      <t>0.01039</t>
    </r>
    <r>
      <rPr>
        <vertAlign val="superscript"/>
        <sz val="10"/>
        <color theme="1"/>
        <rFont val="Arial"/>
        <family val="2"/>
      </rPr>
      <t>1)</t>
    </r>
  </si>
  <si>
    <r>
      <t>0.1785</t>
    </r>
    <r>
      <rPr>
        <vertAlign val="superscript"/>
        <sz val="10"/>
        <color theme="1"/>
        <rFont val="Arial"/>
        <family val="2"/>
      </rPr>
      <t>2)</t>
    </r>
  </si>
  <si>
    <r>
      <t>0.011143</t>
    </r>
    <r>
      <rPr>
        <vertAlign val="superscript"/>
        <sz val="10"/>
        <color theme="1"/>
        <rFont val="Arial"/>
        <family val="2"/>
      </rPr>
      <t>2)</t>
    </r>
  </si>
  <si>
    <r>
      <t>H</t>
    </r>
    <r>
      <rPr>
        <i/>
        <vertAlign val="subscript"/>
        <sz val="10"/>
        <color theme="1"/>
        <rFont val="Arial"/>
        <family val="2"/>
      </rPr>
      <t>2</t>
    </r>
  </si>
  <si>
    <r>
      <t>0.0899</t>
    </r>
    <r>
      <rPr>
        <vertAlign val="superscript"/>
        <sz val="10"/>
        <color theme="1"/>
        <rFont val="Arial"/>
        <family val="2"/>
      </rPr>
      <t>2)</t>
    </r>
  </si>
  <si>
    <r>
      <t>0.0056</t>
    </r>
    <r>
      <rPr>
        <vertAlign val="superscript"/>
        <sz val="10"/>
        <color theme="1"/>
        <rFont val="Arial"/>
        <family val="2"/>
      </rPr>
      <t>2)</t>
    </r>
  </si>
  <si>
    <r>
      <t>1.528</t>
    </r>
    <r>
      <rPr>
        <vertAlign val="superscript"/>
        <sz val="10"/>
        <color theme="1"/>
        <rFont val="Arial"/>
        <family val="2"/>
      </rPr>
      <t>1)</t>
    </r>
  </si>
  <si>
    <r>
      <t>0.0954</t>
    </r>
    <r>
      <rPr>
        <vertAlign val="superscript"/>
        <sz val="10"/>
        <color theme="1"/>
        <rFont val="Arial"/>
        <family val="2"/>
      </rPr>
      <t>1)</t>
    </r>
  </si>
  <si>
    <r>
      <t>1.63</t>
    </r>
    <r>
      <rPr>
        <vertAlign val="superscript"/>
        <sz val="10"/>
        <color theme="1"/>
        <rFont val="Arial"/>
        <family val="2"/>
      </rPr>
      <t>2)</t>
    </r>
  </si>
  <si>
    <r>
      <t>H</t>
    </r>
    <r>
      <rPr>
        <i/>
        <vertAlign val="subscript"/>
        <sz val="10"/>
        <color theme="1"/>
        <rFont val="Arial"/>
        <family val="2"/>
      </rPr>
      <t>2</t>
    </r>
    <r>
      <rPr>
        <i/>
        <sz val="10"/>
        <color theme="1"/>
        <rFont val="Arial"/>
        <family val="2"/>
      </rPr>
      <t>S</t>
    </r>
  </si>
  <si>
    <r>
      <t>1.434</t>
    </r>
    <r>
      <rPr>
        <vertAlign val="superscript"/>
        <sz val="10"/>
        <color theme="1"/>
        <rFont val="Arial"/>
        <family val="2"/>
      </rPr>
      <t>1)</t>
    </r>
  </si>
  <si>
    <r>
      <t>0.0895</t>
    </r>
    <r>
      <rPr>
        <vertAlign val="superscript"/>
        <sz val="10"/>
        <color theme="1"/>
        <rFont val="Arial"/>
        <family val="2"/>
      </rPr>
      <t>1)</t>
    </r>
  </si>
  <si>
    <r>
      <t>3.74</t>
    </r>
    <r>
      <rPr>
        <vertAlign val="superscript"/>
        <sz val="10"/>
        <color theme="1"/>
        <rFont val="Arial"/>
        <family val="2"/>
      </rPr>
      <t>2)</t>
    </r>
  </si>
  <si>
    <r>
      <t>CH</t>
    </r>
    <r>
      <rPr>
        <i/>
        <vertAlign val="subscript"/>
        <sz val="10"/>
        <color theme="1"/>
        <rFont val="Arial"/>
        <family val="2"/>
      </rPr>
      <t>4</t>
    </r>
  </si>
  <si>
    <r>
      <t>0.668</t>
    </r>
    <r>
      <rPr>
        <vertAlign val="superscript"/>
        <sz val="10"/>
        <color theme="1"/>
        <rFont val="Arial"/>
        <family val="2"/>
      </rPr>
      <t>1)</t>
    </r>
  </si>
  <si>
    <r>
      <t>0.0417</t>
    </r>
    <r>
      <rPr>
        <vertAlign val="superscript"/>
        <sz val="10"/>
        <color theme="1"/>
        <rFont val="Arial"/>
        <family val="2"/>
      </rPr>
      <t>1)</t>
    </r>
  </si>
  <si>
    <r>
      <t>0.717</t>
    </r>
    <r>
      <rPr>
        <vertAlign val="superscript"/>
        <sz val="10"/>
        <color theme="1"/>
        <rFont val="Arial"/>
        <family val="2"/>
      </rPr>
      <t>2)</t>
    </r>
  </si>
  <si>
    <r>
      <t>0.0447</t>
    </r>
    <r>
      <rPr>
        <vertAlign val="superscript"/>
        <sz val="10"/>
        <color theme="1"/>
        <rFont val="Arial"/>
        <family val="2"/>
      </rPr>
      <t>2)</t>
    </r>
  </si>
  <si>
    <r>
      <t>0.7 - 0.9</t>
    </r>
    <r>
      <rPr>
        <vertAlign val="superscript"/>
        <sz val="10"/>
        <color theme="1"/>
        <rFont val="Arial"/>
        <family val="2"/>
      </rPr>
      <t>2)</t>
    </r>
  </si>
  <si>
    <r>
      <t>0.044 - 0.056</t>
    </r>
    <r>
      <rPr>
        <vertAlign val="superscript"/>
        <sz val="10"/>
        <color theme="1"/>
        <rFont val="Arial"/>
        <family val="2"/>
      </rPr>
      <t>2)</t>
    </r>
  </si>
  <si>
    <r>
      <t>0.8999</t>
    </r>
    <r>
      <rPr>
        <vertAlign val="superscript"/>
        <sz val="10"/>
        <color theme="1"/>
        <rFont val="Arial"/>
        <family val="2"/>
      </rPr>
      <t>2)</t>
    </r>
  </si>
  <si>
    <r>
      <t>0.056179</t>
    </r>
    <r>
      <rPr>
        <vertAlign val="superscript"/>
        <sz val="10"/>
        <color theme="1"/>
        <rFont val="Arial"/>
        <family val="2"/>
      </rPr>
      <t>2)</t>
    </r>
  </si>
  <si>
    <r>
      <t>1.249</t>
    </r>
    <r>
      <rPr>
        <vertAlign val="superscript"/>
        <sz val="10"/>
        <color theme="1"/>
        <rFont val="Arial"/>
        <family val="2"/>
      </rPr>
      <t>1)</t>
    </r>
  </si>
  <si>
    <r>
      <t>0.0780</t>
    </r>
    <r>
      <rPr>
        <vertAlign val="superscript"/>
        <sz val="10"/>
        <color theme="1"/>
        <rFont val="Arial"/>
        <family val="2"/>
      </rPr>
      <t>1)</t>
    </r>
  </si>
  <si>
    <r>
      <t>N</t>
    </r>
    <r>
      <rPr>
        <i/>
        <vertAlign val="subscript"/>
        <sz val="10"/>
        <color theme="1"/>
        <rFont val="Arial"/>
        <family val="2"/>
      </rPr>
      <t>2</t>
    </r>
  </si>
  <si>
    <r>
      <t>0.9669</t>
    </r>
    <r>
      <rPr>
        <vertAlign val="superscript"/>
        <sz val="10"/>
        <color theme="1"/>
        <rFont val="Arial"/>
        <family val="2"/>
      </rPr>
      <t>(Pure)</t>
    </r>
  </si>
  <si>
    <r>
      <t>1.2506</t>
    </r>
    <r>
      <rPr>
        <vertAlign val="superscript"/>
        <sz val="10"/>
        <color theme="1"/>
        <rFont val="Arial"/>
        <family val="2"/>
      </rPr>
      <t>2)</t>
    </r>
  </si>
  <si>
    <r>
      <t>0.078072</t>
    </r>
    <r>
      <rPr>
        <vertAlign val="superscript"/>
        <sz val="10"/>
        <color theme="1"/>
        <rFont val="Arial"/>
        <family val="2"/>
      </rPr>
      <t>2)</t>
    </r>
  </si>
  <si>
    <r>
      <t>0.9723</t>
    </r>
    <r>
      <rPr>
        <vertAlign val="superscript"/>
        <sz val="10"/>
        <color theme="1"/>
        <rFont val="Arial"/>
        <family val="2"/>
      </rPr>
      <t>(Atmospheric)</t>
    </r>
  </si>
  <si>
    <r>
      <t>NO</t>
    </r>
    <r>
      <rPr>
        <i/>
        <vertAlign val="subscript"/>
        <sz val="10"/>
        <color theme="1"/>
        <rFont val="Arial"/>
        <family val="2"/>
      </rPr>
      <t>2</t>
    </r>
  </si>
  <si>
    <r>
      <t>N</t>
    </r>
    <r>
      <rPr>
        <i/>
        <vertAlign val="subscript"/>
        <sz val="10"/>
        <color theme="1"/>
        <rFont val="Arial"/>
        <family val="2"/>
      </rPr>
      <t>2</t>
    </r>
    <r>
      <rPr>
        <i/>
        <sz val="10"/>
        <color theme="1"/>
        <rFont val="Arial"/>
        <family val="2"/>
      </rPr>
      <t>O</t>
    </r>
  </si>
  <si>
    <r>
      <t>NO</t>
    </r>
    <r>
      <rPr>
        <i/>
        <vertAlign val="subscript"/>
        <sz val="10"/>
        <color theme="1"/>
        <rFont val="Arial"/>
        <family val="2"/>
      </rPr>
      <t>3</t>
    </r>
  </si>
  <si>
    <r>
      <t>O</t>
    </r>
    <r>
      <rPr>
        <i/>
        <vertAlign val="subscript"/>
        <sz val="10"/>
        <color theme="1"/>
        <rFont val="Arial"/>
        <family val="2"/>
      </rPr>
      <t>2</t>
    </r>
  </si>
  <si>
    <r>
      <t>1.331</t>
    </r>
    <r>
      <rPr>
        <vertAlign val="superscript"/>
        <sz val="10"/>
        <color theme="1"/>
        <rFont val="Arial"/>
        <family val="2"/>
      </rPr>
      <t>1)</t>
    </r>
  </si>
  <si>
    <r>
      <t>0.0831</t>
    </r>
    <r>
      <rPr>
        <vertAlign val="superscript"/>
        <sz val="10"/>
        <color theme="1"/>
        <rFont val="Arial"/>
        <family val="2"/>
      </rPr>
      <t>1)</t>
    </r>
  </si>
  <si>
    <r>
      <t>1.4290</t>
    </r>
    <r>
      <rPr>
        <vertAlign val="superscript"/>
        <sz val="10"/>
        <color theme="1"/>
        <rFont val="Arial"/>
        <family val="2"/>
      </rPr>
      <t>2)</t>
    </r>
  </si>
  <si>
    <r>
      <t>0.089210</t>
    </r>
    <r>
      <rPr>
        <vertAlign val="superscript"/>
        <sz val="10"/>
        <color theme="1"/>
        <rFont val="Arial"/>
        <family val="2"/>
      </rPr>
      <t>2)</t>
    </r>
  </si>
  <si>
    <r>
      <t>O</t>
    </r>
    <r>
      <rPr>
        <i/>
        <vertAlign val="subscript"/>
        <sz val="10"/>
        <color theme="1"/>
        <rFont val="Arial"/>
        <family val="2"/>
      </rPr>
      <t>3</t>
    </r>
  </si>
  <si>
    <r>
      <t>2.14</t>
    </r>
    <r>
      <rPr>
        <vertAlign val="superscript"/>
        <sz val="10"/>
        <color theme="1"/>
        <rFont val="Arial"/>
        <family val="2"/>
      </rPr>
      <t>2)</t>
    </r>
  </si>
  <si>
    <r>
      <t>C</t>
    </r>
    <r>
      <rPr>
        <i/>
        <vertAlign val="subscript"/>
        <sz val="10"/>
        <color theme="1"/>
        <rFont val="Arial"/>
        <family val="2"/>
      </rPr>
      <t>3</t>
    </r>
    <r>
      <rPr>
        <i/>
        <sz val="10"/>
        <color theme="1"/>
        <rFont val="Arial"/>
        <family val="2"/>
      </rPr>
      <t>H</t>
    </r>
    <r>
      <rPr>
        <i/>
        <vertAlign val="subscript"/>
        <sz val="10"/>
        <color theme="1"/>
        <rFont val="Arial"/>
        <family val="2"/>
      </rPr>
      <t>8</t>
    </r>
  </si>
  <si>
    <r>
      <t>1.882</t>
    </r>
    <r>
      <rPr>
        <vertAlign val="superscript"/>
        <sz val="10"/>
        <color theme="1"/>
        <rFont val="Arial"/>
        <family val="2"/>
      </rPr>
      <t>1)</t>
    </r>
  </si>
  <si>
    <r>
      <t>0.1175</t>
    </r>
    <r>
      <rPr>
        <vertAlign val="superscript"/>
        <sz val="10"/>
        <color theme="1"/>
        <rFont val="Arial"/>
        <family val="2"/>
      </rPr>
      <t>1)</t>
    </r>
  </si>
  <si>
    <r>
      <t>C</t>
    </r>
    <r>
      <rPr>
        <i/>
        <vertAlign val="subscript"/>
        <sz val="10"/>
        <color theme="1"/>
        <rFont val="Arial"/>
        <family val="2"/>
      </rPr>
      <t>3</t>
    </r>
    <r>
      <rPr>
        <i/>
        <sz val="10"/>
        <color theme="1"/>
        <rFont val="Arial"/>
        <family val="2"/>
      </rPr>
      <t>H</t>
    </r>
    <r>
      <rPr>
        <i/>
        <vertAlign val="subscript"/>
        <sz val="10"/>
        <color theme="1"/>
        <rFont val="Arial"/>
        <family val="2"/>
      </rPr>
      <t>6</t>
    </r>
  </si>
  <si>
    <r>
      <t>1.748</t>
    </r>
    <r>
      <rPr>
        <vertAlign val="superscript"/>
        <sz val="10"/>
        <color theme="1"/>
        <rFont val="Arial"/>
        <family val="2"/>
      </rPr>
      <t>1)</t>
    </r>
  </si>
  <si>
    <r>
      <t>0.1091</t>
    </r>
    <r>
      <rPr>
        <vertAlign val="superscript"/>
        <sz val="10"/>
        <color theme="1"/>
        <rFont val="Arial"/>
        <family val="2"/>
      </rPr>
      <t>1)</t>
    </r>
  </si>
  <si>
    <r>
      <t>SO</t>
    </r>
    <r>
      <rPr>
        <i/>
        <vertAlign val="subscript"/>
        <sz val="10"/>
        <color theme="1"/>
        <rFont val="Arial"/>
        <family val="2"/>
      </rPr>
      <t>2</t>
    </r>
  </si>
  <si>
    <r>
      <t>2.279</t>
    </r>
    <r>
      <rPr>
        <vertAlign val="superscript"/>
        <sz val="10"/>
        <color theme="1"/>
        <rFont val="Arial"/>
        <family val="2"/>
      </rPr>
      <t>1)</t>
    </r>
  </si>
  <si>
    <r>
      <t>0.1703</t>
    </r>
    <r>
      <rPr>
        <vertAlign val="superscript"/>
        <sz val="10"/>
        <color theme="1"/>
        <rFont val="Arial"/>
        <family val="2"/>
      </rPr>
      <t>1)</t>
    </r>
  </si>
  <si>
    <r>
      <t>2.926</t>
    </r>
    <r>
      <rPr>
        <vertAlign val="superscript"/>
        <sz val="10"/>
        <color theme="1"/>
        <rFont val="Arial"/>
        <family val="2"/>
      </rPr>
      <t>2)</t>
    </r>
  </si>
  <si>
    <r>
      <t>0.1828</t>
    </r>
    <r>
      <rPr>
        <vertAlign val="superscript"/>
        <sz val="10"/>
        <color theme="1"/>
        <rFont val="Arial"/>
        <family val="2"/>
      </rPr>
      <t>2)</t>
    </r>
  </si>
  <si>
    <r>
      <t>SO</t>
    </r>
    <r>
      <rPr>
        <i/>
        <vertAlign val="subscript"/>
        <sz val="10"/>
        <color theme="1"/>
        <rFont val="Arial"/>
        <family val="2"/>
      </rPr>
      <t>3</t>
    </r>
  </si>
  <si>
    <r>
      <t>C</t>
    </r>
    <r>
      <rPr>
        <i/>
        <vertAlign val="subscript"/>
        <sz val="10"/>
        <color theme="1"/>
        <rFont val="Arial"/>
        <family val="2"/>
      </rPr>
      <t>7</t>
    </r>
    <r>
      <rPr>
        <i/>
        <sz val="10"/>
        <color theme="1"/>
        <rFont val="Arial"/>
        <family val="2"/>
      </rPr>
      <t>H</t>
    </r>
    <r>
      <rPr>
        <i/>
        <vertAlign val="subscript"/>
        <sz val="10"/>
        <color theme="1"/>
        <rFont val="Arial"/>
        <family val="2"/>
      </rPr>
      <t>8</t>
    </r>
  </si>
  <si>
    <r>
      <t>H</t>
    </r>
    <r>
      <rPr>
        <i/>
        <vertAlign val="subscript"/>
        <sz val="10"/>
        <color theme="1"/>
        <rFont val="Arial"/>
        <family val="2"/>
      </rPr>
      <t>2</t>
    </r>
    <r>
      <rPr>
        <i/>
        <sz val="10"/>
        <color theme="1"/>
        <rFont val="Arial"/>
        <family val="2"/>
      </rPr>
      <t>O</t>
    </r>
  </si>
  <si>
    <r>
      <t>5.86</t>
    </r>
    <r>
      <rPr>
        <vertAlign val="superscript"/>
        <sz val="10"/>
        <color theme="1"/>
        <rFont val="Arial"/>
        <family val="2"/>
      </rPr>
      <t>2)</t>
    </r>
  </si>
  <si>
    <r>
      <rPr>
        <vertAlign val="superscript"/>
        <sz val="10"/>
        <color theme="1"/>
        <rFont val="Arial"/>
        <family val="2"/>
      </rPr>
      <t>1)</t>
    </r>
    <r>
      <rPr>
        <sz val="10"/>
        <color theme="1"/>
        <rFont val="Arial"/>
        <family val="2"/>
      </rPr>
      <t xml:space="preserve"> NTP - Normal Temperature and Pressure</t>
    </r>
  </si>
  <si>
    <r>
      <rPr>
        <vertAlign val="superscript"/>
        <sz val="10"/>
        <color theme="1"/>
        <rFont val="Arial"/>
        <family val="2"/>
      </rPr>
      <t>2)</t>
    </r>
    <r>
      <rPr>
        <sz val="10"/>
        <color theme="1"/>
        <rFont val="Arial"/>
        <family val="2"/>
      </rPr>
      <t xml:space="preserve"> STP - Standard Temperature and Pressure </t>
    </r>
  </si>
  <si>
    <r>
      <t>c</t>
    </r>
    <r>
      <rPr>
        <i/>
        <vertAlign val="subscript"/>
        <sz val="10"/>
        <color theme="1"/>
        <rFont val="Arial"/>
        <family val="2"/>
      </rPr>
      <t>p</t>
    </r>
  </si>
  <si>
    <r>
      <t>c</t>
    </r>
    <r>
      <rPr>
        <i/>
        <vertAlign val="subscript"/>
        <sz val="10"/>
        <color theme="1"/>
        <rFont val="Arial"/>
        <family val="2"/>
      </rPr>
      <t>v</t>
    </r>
  </si>
  <si>
    <r>
      <t>c</t>
    </r>
    <r>
      <rPr>
        <i/>
        <vertAlign val="subscript"/>
        <sz val="10"/>
        <color theme="1"/>
        <rFont val="Arial"/>
        <family val="2"/>
      </rPr>
      <t>p</t>
    </r>
    <r>
      <rPr>
        <i/>
        <sz val="10"/>
        <color theme="1"/>
        <rFont val="Arial"/>
        <family val="2"/>
      </rPr>
      <t xml:space="preserve"> - c</t>
    </r>
    <r>
      <rPr>
        <i/>
        <vertAlign val="subscript"/>
        <sz val="10"/>
        <color theme="1"/>
        <rFont val="Arial"/>
        <family val="2"/>
      </rPr>
      <t>v</t>
    </r>
  </si>
  <si>
    <r>
      <t>(Btu/lb</t>
    </r>
    <r>
      <rPr>
        <i/>
        <vertAlign val="subscript"/>
        <sz val="10"/>
        <color theme="1"/>
        <rFont val="Arial"/>
        <family val="2"/>
      </rPr>
      <t>m</t>
    </r>
    <r>
      <rPr>
        <i/>
        <vertAlign val="superscript"/>
        <sz val="10"/>
        <color theme="1"/>
        <rFont val="Arial"/>
        <family val="2"/>
      </rPr>
      <t>o</t>
    </r>
    <r>
      <rPr>
        <i/>
        <sz val="10"/>
        <color theme="1"/>
        <rFont val="Arial"/>
        <family val="2"/>
      </rPr>
      <t>F)</t>
    </r>
  </si>
  <si>
    <r>
      <t>c</t>
    </r>
    <r>
      <rPr>
        <i/>
        <vertAlign val="subscript"/>
        <sz val="10"/>
        <color theme="1"/>
        <rFont val="Arial"/>
        <family val="2"/>
      </rPr>
      <t>p</t>
    </r>
    <r>
      <rPr>
        <i/>
        <sz val="10"/>
        <color theme="1"/>
        <rFont val="Arial"/>
        <family val="2"/>
      </rPr>
      <t xml:space="preserve"> / c</t>
    </r>
    <r>
      <rPr>
        <i/>
        <vertAlign val="subscript"/>
        <sz val="10"/>
        <color theme="1"/>
        <rFont val="Arial"/>
        <family val="2"/>
      </rPr>
      <t>v</t>
    </r>
  </si>
  <si>
    <r>
      <t>(ft lb</t>
    </r>
    <r>
      <rPr>
        <i/>
        <vertAlign val="subscript"/>
        <sz val="10"/>
        <color theme="1"/>
        <rFont val="Arial"/>
        <family val="2"/>
      </rPr>
      <t>f</t>
    </r>
    <r>
      <rPr>
        <i/>
        <sz val="10"/>
        <color theme="1"/>
        <rFont val="Arial"/>
        <family val="2"/>
      </rPr>
      <t>/lb</t>
    </r>
    <r>
      <rPr>
        <i/>
        <vertAlign val="subscript"/>
        <sz val="10"/>
        <color theme="1"/>
        <rFont val="Arial"/>
        <family val="2"/>
      </rPr>
      <t>m</t>
    </r>
    <r>
      <rPr>
        <i/>
        <vertAlign val="superscript"/>
        <sz val="10"/>
        <color theme="1"/>
        <rFont val="Arial"/>
        <family val="2"/>
      </rPr>
      <t>o</t>
    </r>
    <r>
      <rPr>
        <i/>
        <sz val="10"/>
        <color theme="1"/>
        <rFont val="Arial"/>
        <family val="2"/>
      </rPr>
      <t>R)</t>
    </r>
  </si>
  <si>
    <r>
      <t>C</t>
    </r>
    <r>
      <rPr>
        <i/>
        <vertAlign val="subscript"/>
        <sz val="10"/>
        <color theme="1"/>
        <rFont val="Arial"/>
        <family val="2"/>
      </rPr>
      <t>2</t>
    </r>
    <r>
      <rPr>
        <i/>
        <sz val="10"/>
        <color theme="1"/>
        <rFont val="Arial"/>
        <family val="2"/>
      </rPr>
      <t>H</t>
    </r>
    <r>
      <rPr>
        <i/>
        <vertAlign val="subscript"/>
        <sz val="10"/>
        <color theme="1"/>
        <rFont val="Arial"/>
        <family val="2"/>
      </rPr>
      <t>5</t>
    </r>
    <r>
      <rPr>
        <i/>
        <sz val="10"/>
        <color theme="1"/>
        <rFont val="Arial"/>
        <family val="2"/>
      </rPr>
      <t>OH</t>
    </r>
  </si>
  <si>
    <r>
      <t>CH</t>
    </r>
    <r>
      <rPr>
        <i/>
        <vertAlign val="subscript"/>
        <sz val="10"/>
        <color theme="1"/>
        <rFont val="Arial"/>
        <family val="2"/>
      </rPr>
      <t>3</t>
    </r>
    <r>
      <rPr>
        <i/>
        <sz val="10"/>
        <color theme="1"/>
        <rFont val="Arial"/>
        <family val="2"/>
      </rPr>
      <t>OH</t>
    </r>
  </si>
  <si>
    <r>
      <t>CH</t>
    </r>
    <r>
      <rPr>
        <i/>
        <vertAlign val="subscript"/>
        <sz val="10"/>
        <color theme="1"/>
        <rFont val="Arial"/>
        <family val="2"/>
      </rPr>
      <t>3</t>
    </r>
    <r>
      <rPr>
        <i/>
        <sz val="10"/>
        <color theme="1"/>
        <rFont val="Arial"/>
        <family val="2"/>
      </rPr>
      <t>Cl</t>
    </r>
  </si>
  <si>
    <r>
      <t xml:space="preserve">Steam 1 psia. 120 – 600 </t>
    </r>
    <r>
      <rPr>
        <vertAlign val="superscript"/>
        <sz val="10"/>
        <color theme="1"/>
        <rFont val="Arial"/>
        <family val="2"/>
      </rPr>
      <t>o</t>
    </r>
    <r>
      <rPr>
        <sz val="10"/>
        <color theme="1"/>
        <rFont val="Arial"/>
        <family val="2"/>
      </rPr>
      <t>F</t>
    </r>
  </si>
  <si>
    <r>
      <t xml:space="preserve">Steam 14.7 psia. 220 – 600 </t>
    </r>
    <r>
      <rPr>
        <vertAlign val="superscript"/>
        <sz val="10"/>
        <color theme="1"/>
        <rFont val="Arial"/>
        <family val="2"/>
      </rPr>
      <t>o</t>
    </r>
    <r>
      <rPr>
        <sz val="10"/>
        <color theme="1"/>
        <rFont val="Arial"/>
        <family val="2"/>
      </rPr>
      <t>F</t>
    </r>
  </si>
  <si>
    <r>
      <t xml:space="preserve">Steam 150 psia. 360 – 600 </t>
    </r>
    <r>
      <rPr>
        <vertAlign val="superscript"/>
        <sz val="10"/>
        <color theme="1"/>
        <rFont val="Arial"/>
        <family val="2"/>
      </rPr>
      <t>o</t>
    </r>
    <r>
      <rPr>
        <sz val="10"/>
        <color theme="1"/>
        <rFont val="Arial"/>
        <family val="2"/>
      </rPr>
      <t>F</t>
    </r>
  </si>
  <si>
    <t>Table 5 Ratio of Specific Heats</t>
  </si>
  <si>
    <t>Ratio of Specific Heats (Table 5)</t>
  </si>
  <si>
    <r>
      <t>D = ( τ * F * Q / 4π * K)</t>
    </r>
    <r>
      <rPr>
        <vertAlign val="superscript"/>
        <sz val="12"/>
        <color theme="1"/>
        <rFont val="Arial"/>
        <family val="2"/>
      </rPr>
      <t>0.5</t>
    </r>
  </si>
  <si>
    <t>Flare Modeling Parameter Estimator</t>
  </si>
  <si>
    <t xml:space="preserve">Project ID: </t>
  </si>
  <si>
    <t xml:space="preserve">Facility ID: </t>
  </si>
  <si>
    <t xml:space="preserve">Unit ID: </t>
  </si>
  <si>
    <r>
      <rPr>
        <b/>
        <sz val="10"/>
        <color theme="1"/>
        <rFont val="Arial"/>
        <family val="2"/>
      </rPr>
      <t xml:space="preserve">Note: </t>
    </r>
    <r>
      <rPr>
        <sz val="10"/>
        <color theme="1"/>
        <rFont val="Arial"/>
        <family val="2"/>
      </rPr>
      <t>The estimated flare parameters were generated using the calculation methodology provided in ANSI/API Standard 521. A publically available reference to these calculations can be found in a book by Arun Datta "Process engineering and design using Visual Basic" starting on page 330. A snippet can be found at http://www.scribd.com/doc/86470056/372/Lower-explosive-limit-of-mixtures.</t>
    </r>
  </si>
  <si>
    <r>
      <t>Wind Speed m/sec (~99</t>
    </r>
    <r>
      <rPr>
        <vertAlign val="superscript"/>
        <sz val="11"/>
        <color theme="1"/>
        <rFont val="Arial"/>
        <family val="2"/>
      </rPr>
      <t>th</t>
    </r>
    <r>
      <rPr>
        <sz val="11"/>
        <color theme="1"/>
        <rFont val="Arial"/>
        <family val="2"/>
      </rPr>
      <t xml:space="preserve"> Percentile)</t>
    </r>
  </si>
  <si>
    <t>Calculated*</t>
  </si>
  <si>
    <t>Provided*</t>
  </si>
  <si>
    <r>
      <t>H</t>
    </r>
    <r>
      <rPr>
        <b/>
        <vertAlign val="subscript"/>
        <sz val="12"/>
        <rFont val="Arial"/>
        <family val="2"/>
      </rPr>
      <t>eff</t>
    </r>
  </si>
  <si>
    <t>J/sec</t>
  </si>
  <si>
    <t>Flare Height (m)</t>
  </si>
  <si>
    <r>
      <t>H</t>
    </r>
    <r>
      <rPr>
        <b/>
        <vertAlign val="subscript"/>
        <sz val="12"/>
        <rFont val="Arial"/>
        <family val="2"/>
      </rPr>
      <t xml:space="preserve">eff </t>
    </r>
    <r>
      <rPr>
        <b/>
        <sz val="12"/>
        <rFont val="Arial"/>
        <family val="2"/>
      </rPr>
      <t>=</t>
    </r>
  </si>
  <si>
    <r>
      <t>d</t>
    </r>
    <r>
      <rPr>
        <b/>
        <vertAlign val="subscript"/>
        <sz val="12"/>
        <rFont val="Arial"/>
        <family val="2"/>
      </rPr>
      <t>s</t>
    </r>
  </si>
  <si>
    <t>60 sec</t>
  </si>
  <si>
    <t>60 min</t>
  </si>
  <si>
    <t>BTU</t>
  </si>
  <si>
    <t>1 MMBTU</t>
  </si>
  <si>
    <t>Hr</t>
  </si>
  <si>
    <t>1 min</t>
  </si>
  <si>
    <t>*</t>
  </si>
  <si>
    <t>1 Hr</t>
  </si>
  <si>
    <t>251.996 cal</t>
  </si>
  <si>
    <t>1,000,000 BTU</t>
  </si>
  <si>
    <t>Cal/sec =</t>
  </si>
  <si>
    <t>Unit Rating In MMBTU / hr</t>
  </si>
  <si>
    <r>
      <t>d</t>
    </r>
    <r>
      <rPr>
        <b/>
        <vertAlign val="subscript"/>
        <sz val="12"/>
        <rFont val="Arial"/>
        <family val="2"/>
      </rPr>
      <t xml:space="preserve">s </t>
    </r>
    <r>
      <rPr>
        <b/>
        <sz val="12"/>
        <rFont val="Arial"/>
        <family val="2"/>
      </rPr>
      <t>=</t>
    </r>
  </si>
  <si>
    <t>Exit Temp</t>
  </si>
  <si>
    <t>Exit Velocity</t>
  </si>
  <si>
    <t>Enclosed flares should be modeled as normal point sources (stacks). The information below should only be used for open flares where the flame is visible.</t>
  </si>
  <si>
    <t>Eff. Velocity</t>
  </si>
  <si>
    <t>Eff. Diameter</t>
  </si>
  <si>
    <t>Background:</t>
  </si>
  <si>
    <t>Refined Method:</t>
  </si>
  <si>
    <t>Default Parameters:</t>
  </si>
  <si>
    <t>Flare stack diameter depends on the Mach number and is estimated by using the following equation:</t>
  </si>
  <si>
    <t>*Values adjusted to consider the max deflection assumed by EPA of 45 degrees or cos(45) or Sin(45)=0.7071068</t>
  </si>
  <si>
    <t>Eff Diameter</t>
  </si>
  <si>
    <t>meters</t>
  </si>
  <si>
    <t>Eff Height</t>
  </si>
  <si>
    <t>Input</t>
  </si>
  <si>
    <t>Flare Eff. Diameter Calculation</t>
  </si>
  <si>
    <t>Flare Eff. Height Calculation</t>
  </si>
  <si>
    <r>
      <t>Mach = 3.23 *10</t>
    </r>
    <r>
      <rPr>
        <vertAlign val="superscript"/>
        <sz val="12"/>
        <color theme="1"/>
        <rFont val="Arial"/>
        <family val="2"/>
      </rPr>
      <t>-5</t>
    </r>
    <r>
      <rPr>
        <sz val="12"/>
        <color theme="1"/>
        <rFont val="Arial"/>
        <family val="2"/>
      </rPr>
      <t xml:space="preserve"> (W / (P * d</t>
    </r>
    <r>
      <rPr>
        <vertAlign val="superscript"/>
        <sz val="12"/>
        <color theme="1"/>
        <rFont val="Arial"/>
        <family val="2"/>
      </rPr>
      <t>2</t>
    </r>
    <r>
      <rPr>
        <sz val="12"/>
        <color theme="1"/>
        <rFont val="Arial"/>
        <family val="2"/>
      </rPr>
      <t>)) * (z * T /( k * MW))</t>
    </r>
    <r>
      <rPr>
        <vertAlign val="superscript"/>
        <sz val="12"/>
        <color theme="1"/>
        <rFont val="Arial"/>
        <family val="2"/>
      </rPr>
      <t>0.5</t>
    </r>
  </si>
  <si>
    <r>
      <t xml:space="preserve">A refined method was developed using algorithms found in American Petroleum Institute (API), Standard 521 (Flare Designing Method).  API is a leader in the development of petroleum and petrochemical equipment and operating standards covering topics that range from drill bits to environmental protection.  To ensure that this new method does not over estimate flare modeling parameters several modifications were included: 
1) EPA’s maximum flame deflection of 45 degrees was added to reduce the flare exit velocity. </t>
    </r>
    <r>
      <rPr>
        <b/>
        <sz val="12"/>
        <color theme="1"/>
        <rFont val="Arial"/>
        <family val="2"/>
      </rPr>
      <t>Please note:</t>
    </r>
    <r>
      <rPr>
        <sz val="12"/>
        <color theme="1"/>
        <rFont val="Arial"/>
        <family val="2"/>
      </rPr>
      <t xml:space="preserve"> this is in addition to the calculated flame distortion adjustment and,
2) The lowest flame velocity estimated between the calculated and that based on the provided flare diameter was used.
These adjustments provide a level of conservatism to the modeling parameters ensuring that impacts are not underestimated.  </t>
    </r>
  </si>
  <si>
    <t>NG</t>
  </si>
  <si>
    <t>LPG</t>
  </si>
  <si>
    <t>NG/WG</t>
  </si>
  <si>
    <t xml:space="preserve">Digester </t>
  </si>
  <si>
    <t xml:space="preserve">Landfill </t>
  </si>
  <si>
    <t>Gas Default Parameters</t>
  </si>
  <si>
    <t>Flare Gas</t>
  </si>
  <si>
    <t>For Partially Enclosed Flares Only</t>
  </si>
  <si>
    <t>True Eff. Stk. Ht.</t>
  </si>
  <si>
    <t xml:space="preserve">The District has developed an Excel spreadsheet that can generate both screening and refined flare parameters.  The screening method previously used was developed by EPA and has been used since ~1980 to evaluate flares.  With the need to evaluate flares against the new PM2.5 National Ambient Air Quality Standards (NAAQS) and /or Significant Impact Levels (SILs), the current screening method has become too conservative for the purposes of evaluating flare impacts against more stringent NAAQS.  </t>
  </si>
  <si>
    <r>
      <t xml:space="preserve">The default parameters are based on natural gas and should be adjusted based on the gas being flared.  Specifically, the following parameters should be adjusted based on specific gas information or the information provided in the included tables: 1) Allowable radiation, 2 ) Fraction of heat radiated, 3) Heating value, 4) Gas specific density, 5) Molecular weight, and  6) Ratio of Specific Heats.
</t>
    </r>
    <r>
      <rPr>
        <b/>
        <sz val="12"/>
        <color theme="1"/>
        <rFont val="Arial"/>
        <family val="2"/>
      </rPr>
      <t>When adjusting other default parameter (Flowing Gas Temp., Wind Speed, &amp; Mach #) the reviewing agency should be consulted.</t>
    </r>
    <r>
      <rPr>
        <sz val="12"/>
        <color theme="1"/>
        <rFont val="Arial"/>
        <family val="2"/>
      </rPr>
      <t xml:space="preserve">  
1) The Flowing Gas Temp. is considered to be at standard temperature (70 ℉).
2) The Wind Speed was derived based on meteorological sites in the San Joaquin Valley.
3) The Mach # is based on literature research conducted during the development of the methodology.  The research would indicated that most subsonic flares can reach a mach # between 0.2 and 0.5 while sonic flares could reach a mach # &gt;1.0.  The Mach # can be affected by the flare design, quality of gas being flared and flame stability.  To be conservative it is recommended that the mach # be set to the lowest possible value.  As the mach # has a direct effect on the maximum possible exit velocity being calculated.
</t>
    </r>
  </si>
  <si>
    <t>Offset Height</t>
  </si>
  <si>
    <t>Facility X</t>
  </si>
  <si>
    <t>C-XXXX-X-X</t>
  </si>
  <si>
    <t>C-XXXXXXX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</si>
</sst>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quot; m/sec&quot;"/>
    <numFmt numFmtId="166" formatCode="#.##&quot; m&quot;"/>
    <numFmt numFmtId="167" formatCode="#0.##&quot; m&quot;"/>
  </numFmts>
  <fonts count="36" x14ac:knownFonts="1">
    <font>
      <sz val="12"/>
      <color theme="1"/>
      <name val="Arial"/>
      <family val="2"/>
    </font>
    <font>
      <b/>
      <sz val="12"/>
      <color theme="1"/>
      <name val="Arial"/>
      <family val="2"/>
    </font>
    <font>
      <vertAlign val="subscript"/>
      <sz val="12"/>
      <color theme="1"/>
      <name val="Arial"/>
      <family val="2"/>
    </font>
    <font>
      <vertAlign val="superscript"/>
      <sz val="12"/>
      <color theme="1"/>
      <name val="Arial"/>
      <family val="2"/>
    </font>
    <font>
      <b/>
      <sz val="12"/>
      <color rgb="FF231F20"/>
      <name val="Arial"/>
      <family val="2"/>
    </font>
    <font>
      <u/>
      <sz val="12"/>
      <color theme="10"/>
      <name val="Arial"/>
      <family val="2"/>
    </font>
    <font>
      <b/>
      <sz val="12"/>
      <color rgb="FFFF0000"/>
      <name val="Arial"/>
      <family val="2"/>
    </font>
    <font>
      <sz val="10"/>
      <color theme="1"/>
      <name val="Arial"/>
      <family val="2"/>
    </font>
    <font>
      <b/>
      <sz val="10"/>
      <color theme="1"/>
      <name val="Arial"/>
      <family val="2"/>
    </font>
    <font>
      <b/>
      <i/>
      <sz val="10"/>
      <color theme="1"/>
      <name val="Arial"/>
      <family val="2"/>
    </font>
    <font>
      <b/>
      <vertAlign val="subscript"/>
      <sz val="10"/>
      <color theme="1"/>
      <name val="Arial"/>
      <family val="2"/>
    </font>
    <font>
      <vertAlign val="subscript"/>
      <sz val="10"/>
      <color theme="1"/>
      <name val="Arial"/>
      <family val="2"/>
    </font>
    <font>
      <vertAlign val="superscript"/>
      <sz val="10"/>
      <color theme="1"/>
      <name val="Arial"/>
      <family val="2"/>
    </font>
    <font>
      <b/>
      <vertAlign val="superscript"/>
      <sz val="10"/>
      <color theme="1"/>
      <name val="Arial"/>
      <family val="2"/>
    </font>
    <font>
      <u/>
      <sz val="10"/>
      <color theme="10"/>
      <name val="Arial"/>
      <family val="2"/>
    </font>
    <font>
      <b/>
      <sz val="10"/>
      <color rgb="FF231F20"/>
      <name val="Arial"/>
      <family val="2"/>
    </font>
    <font>
      <sz val="10"/>
      <color rgb="FF231F20"/>
      <name val="Arial"/>
      <family val="2"/>
    </font>
    <font>
      <vertAlign val="superscript"/>
      <sz val="10"/>
      <color rgb="FF231F20"/>
      <name val="Arial"/>
      <family val="2"/>
    </font>
    <font>
      <i/>
      <sz val="10"/>
      <color theme="1"/>
      <name val="Arial"/>
      <family val="2"/>
    </font>
    <font>
      <i/>
      <vertAlign val="superscript"/>
      <sz val="10"/>
      <color theme="1"/>
      <name val="Arial"/>
      <family val="2"/>
    </font>
    <font>
      <i/>
      <vertAlign val="subscript"/>
      <sz val="10"/>
      <color theme="1"/>
      <name val="Arial"/>
      <family val="2"/>
    </font>
    <font>
      <sz val="11"/>
      <color theme="1"/>
      <name val="Arial"/>
      <family val="2"/>
    </font>
    <font>
      <b/>
      <sz val="16"/>
      <color theme="1"/>
      <name val="Arial"/>
      <family val="2"/>
    </font>
    <font>
      <vertAlign val="superscript"/>
      <sz val="11"/>
      <color theme="1"/>
      <name val="Arial"/>
      <family val="2"/>
    </font>
    <font>
      <b/>
      <sz val="12"/>
      <color rgb="FF222222"/>
      <name val="Arial"/>
      <family val="2"/>
    </font>
    <font>
      <b/>
      <sz val="10"/>
      <color rgb="FFFF0000"/>
      <name val="Arial"/>
      <family val="2"/>
    </font>
    <font>
      <sz val="12"/>
      <name val="Courier"/>
    </font>
    <font>
      <sz val="12"/>
      <name val="Arial"/>
      <family val="2"/>
    </font>
    <font>
      <b/>
      <sz val="12"/>
      <name val="Arial"/>
      <family val="2"/>
    </font>
    <font>
      <b/>
      <vertAlign val="subscript"/>
      <sz val="12"/>
      <name val="Arial"/>
      <family val="2"/>
    </font>
    <font>
      <sz val="14"/>
      <name val="Arial"/>
      <family val="2"/>
    </font>
    <font>
      <b/>
      <sz val="14"/>
      <name val="Arial"/>
      <family val="2"/>
    </font>
    <font>
      <b/>
      <u/>
      <sz val="12"/>
      <name val="Arial"/>
      <family val="2"/>
    </font>
    <font>
      <sz val="12"/>
      <color rgb="FF000000"/>
      <name val="Arial"/>
      <family val="2"/>
    </font>
    <font>
      <sz val="12"/>
      <name val="Courier"/>
      <family val="3"/>
    </font>
    <font>
      <b/>
      <sz val="9"/>
      <color indexed="81"/>
      <name val="Tahoma"/>
      <charset val="1"/>
    </font>
  </fonts>
  <fills count="5">
    <fill>
      <patternFill patternType="none"/>
    </fill>
    <fill>
      <patternFill patternType="gray125"/>
    </fill>
    <fill>
      <patternFill patternType="solid">
        <fgColor theme="0" tint="-0.249977111117893"/>
        <bgColor indexed="64"/>
      </patternFill>
    </fill>
    <fill>
      <patternFill patternType="solid">
        <fgColor indexed="22"/>
        <bgColor indexed="64"/>
      </patternFill>
    </fill>
    <fill>
      <patternFill patternType="solid">
        <fgColor theme="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double">
        <color auto="1"/>
      </top>
      <bottom/>
      <diagonal/>
    </border>
    <border>
      <left style="double">
        <color auto="1"/>
      </left>
      <right style="thin">
        <color indexed="64"/>
      </right>
      <top style="thin">
        <color indexed="64"/>
      </top>
      <bottom style="thin">
        <color indexed="64"/>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auto="1"/>
      </left>
      <right/>
      <top style="double">
        <color auto="1"/>
      </top>
      <bottom/>
      <diagonal/>
    </border>
    <border>
      <left/>
      <right style="double">
        <color auto="1"/>
      </right>
      <top style="double">
        <color auto="1"/>
      </top>
      <bottom/>
      <diagonal/>
    </border>
    <border>
      <left style="thin">
        <color indexed="64"/>
      </left>
      <right style="double">
        <color auto="1"/>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uble">
        <color auto="1"/>
      </right>
      <top style="thin">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s>
  <cellStyleXfs count="4">
    <xf numFmtId="0" fontId="0" fillId="0" borderId="0"/>
    <xf numFmtId="0" fontId="5" fillId="0" borderId="0" applyNumberFormat="0" applyFill="0" applyBorder="0" applyAlignment="0" applyProtection="0"/>
    <xf numFmtId="0" fontId="26" fillId="0" borderId="0"/>
    <xf numFmtId="0" fontId="34" fillId="0" borderId="0"/>
  </cellStyleXfs>
  <cellXfs count="157">
    <xf numFmtId="0" fontId="0" fillId="0" borderId="0" xfId="0"/>
    <xf numFmtId="0" fontId="0" fillId="0" borderId="0" xfId="0" applyAlignment="1">
      <alignment horizontal="right"/>
    </xf>
    <xf numFmtId="0" fontId="0" fillId="0" borderId="0" xfId="0" applyAlignment="1">
      <alignment horizontal="center"/>
    </xf>
    <xf numFmtId="0" fontId="1" fillId="0" borderId="0" xfId="0" applyFont="1"/>
    <xf numFmtId="2" fontId="0" fillId="0" borderId="0" xfId="0" applyNumberFormat="1"/>
    <xf numFmtId="164" fontId="0" fillId="0" borderId="0" xfId="0" applyNumberFormat="1" applyAlignment="1">
      <alignment horizontal="center"/>
    </xf>
    <xf numFmtId="2" fontId="0" fillId="0" borderId="0" xfId="0" applyNumberFormat="1" applyAlignment="1">
      <alignment horizontal="center"/>
    </xf>
    <xf numFmtId="0" fontId="0" fillId="0" borderId="0" xfId="0" applyAlignment="1"/>
    <xf numFmtId="0" fontId="0" fillId="0" borderId="1" xfId="0" applyBorder="1"/>
    <xf numFmtId="0" fontId="1" fillId="0" borderId="0" xfId="0" applyFont="1" applyAlignment="1"/>
    <xf numFmtId="0" fontId="0" fillId="0" borderId="0" xfId="0" applyAlignment="1">
      <alignment horizontal="right" wrapText="1"/>
    </xf>
    <xf numFmtId="0" fontId="0" fillId="0" borderId="0" xfId="0" applyAlignment="1">
      <alignment horizontal="left" wrapText="1"/>
    </xf>
    <xf numFmtId="2" fontId="1" fillId="0" borderId="0" xfId="0" applyNumberFormat="1" applyFont="1" applyFill="1" applyAlignment="1">
      <alignment horizontal="center"/>
    </xf>
    <xf numFmtId="0" fontId="0" fillId="0" borderId="0" xfId="0" applyAlignment="1">
      <alignment horizontal="left"/>
    </xf>
    <xf numFmtId="0" fontId="1" fillId="0" borderId="0" xfId="0" applyFont="1" applyFill="1" applyAlignment="1">
      <alignment horizontal="center"/>
    </xf>
    <xf numFmtId="2" fontId="6" fillId="0" borderId="0" xfId="0" applyNumberFormat="1" applyFont="1" applyFill="1" applyAlignment="1">
      <alignment horizontal="center"/>
    </xf>
    <xf numFmtId="0" fontId="4" fillId="0" borderId="0" xfId="0" applyFont="1"/>
    <xf numFmtId="2" fontId="6" fillId="0" borderId="0" xfId="0" applyNumberFormat="1" applyFont="1" applyAlignment="1">
      <alignment horizontal="center"/>
    </xf>
    <xf numFmtId="164" fontId="6" fillId="0" borderId="0" xfId="0" applyNumberFormat="1" applyFont="1" applyFill="1" applyAlignment="1">
      <alignment horizontal="center"/>
    </xf>
    <xf numFmtId="0" fontId="1" fillId="0" borderId="0" xfId="0" applyFont="1" applyAlignment="1">
      <alignment horizontal="center"/>
    </xf>
    <xf numFmtId="164" fontId="6" fillId="0" borderId="0" xfId="0" applyNumberFormat="1" applyFont="1" applyAlignment="1">
      <alignment horizontal="center"/>
    </xf>
    <xf numFmtId="4" fontId="0" fillId="0" borderId="0" xfId="0" applyNumberFormat="1" applyAlignment="1">
      <alignment horizontal="center"/>
    </xf>
    <xf numFmtId="4" fontId="6" fillId="0" borderId="0" xfId="0" applyNumberFormat="1" applyFont="1" applyAlignment="1">
      <alignment horizontal="center"/>
    </xf>
    <xf numFmtId="4" fontId="1" fillId="0" borderId="0" xfId="0" applyNumberFormat="1" applyFont="1" applyFill="1" applyAlignment="1">
      <alignment horizontal="center"/>
    </xf>
    <xf numFmtId="0" fontId="0" fillId="0" borderId="1" xfId="0" applyBorder="1" applyAlignment="1">
      <alignment horizontal="center"/>
    </xf>
    <xf numFmtId="164" fontId="1" fillId="0" borderId="1" xfId="0" applyNumberFormat="1" applyFont="1" applyFill="1" applyBorder="1" applyAlignment="1">
      <alignment horizontal="center"/>
    </xf>
    <xf numFmtId="164" fontId="0" fillId="0" borderId="1" xfId="0" applyNumberFormat="1" applyBorder="1" applyAlignment="1">
      <alignment horizontal="center"/>
    </xf>
    <xf numFmtId="0" fontId="7" fillId="0" borderId="0" xfId="0" applyFont="1"/>
    <xf numFmtId="0" fontId="7" fillId="0" borderId="0" xfId="0" applyFont="1" applyAlignment="1">
      <alignment horizontal="left"/>
    </xf>
    <xf numFmtId="0" fontId="8" fillId="0" borderId="0" xfId="0" applyFont="1"/>
    <xf numFmtId="0" fontId="1" fillId="2" borderId="1" xfId="0" applyFont="1" applyFill="1" applyBorder="1" applyAlignment="1">
      <alignment horizontal="center"/>
    </xf>
    <xf numFmtId="2" fontId="0" fillId="0" borderId="1" xfId="0" applyNumberFormat="1" applyBorder="1" applyAlignment="1">
      <alignment horizontal="center"/>
    </xf>
    <xf numFmtId="2" fontId="0" fillId="0" borderId="1" xfId="0" applyNumberFormat="1" applyBorder="1"/>
    <xf numFmtId="0" fontId="7" fillId="0" borderId="0" xfId="0" applyFont="1" applyAlignment="1">
      <alignment horizontal="center"/>
    </xf>
    <xf numFmtId="0" fontId="16" fillId="0" borderId="1" xfId="0" applyFont="1" applyBorder="1" applyAlignment="1">
      <alignment horizontal="center" vertical="center"/>
    </xf>
    <xf numFmtId="0" fontId="7" fillId="0" borderId="1" xfId="0" applyFont="1" applyBorder="1" applyAlignment="1">
      <alignment horizontal="center" vertical="center"/>
    </xf>
    <xf numFmtId="0" fontId="7" fillId="0" borderId="0" xfId="0" applyFont="1" applyBorder="1"/>
    <xf numFmtId="0" fontId="16" fillId="0" borderId="0" xfId="0" applyFont="1" applyBorder="1" applyAlignment="1">
      <alignment horizontal="left" vertical="center"/>
    </xf>
    <xf numFmtId="0" fontId="16" fillId="0" borderId="1" xfId="0" applyFont="1" applyBorder="1" applyAlignment="1">
      <alignment horizontal="center" vertical="center" wrapText="1"/>
    </xf>
    <xf numFmtId="0" fontId="7" fillId="0" borderId="1" xfId="0" applyFont="1" applyBorder="1" applyAlignment="1">
      <alignment horizontal="center"/>
    </xf>
    <xf numFmtId="0" fontId="16" fillId="0" borderId="1" xfId="0" applyFont="1" applyBorder="1" applyAlignment="1">
      <alignment vertical="center"/>
    </xf>
    <xf numFmtId="0" fontId="7" fillId="0" borderId="0" xfId="0" applyFont="1" applyAlignment="1"/>
    <xf numFmtId="0" fontId="7" fillId="0" borderId="1" xfId="0" applyFont="1" applyBorder="1"/>
    <xf numFmtId="0" fontId="7" fillId="0" borderId="1" xfId="0" applyFont="1" applyBorder="1" applyAlignment="1">
      <alignment horizontal="center" wrapText="1"/>
    </xf>
    <xf numFmtId="0" fontId="7" fillId="0" borderId="1" xfId="0" applyFont="1" applyBorder="1" applyAlignment="1">
      <alignment wrapText="1"/>
    </xf>
    <xf numFmtId="0" fontId="8"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left" vertical="center" wrapText="1"/>
    </xf>
    <xf numFmtId="0" fontId="7" fillId="0" borderId="0" xfId="0" applyFont="1" applyBorder="1" applyAlignment="1">
      <alignment horizontal="center"/>
    </xf>
    <xf numFmtId="0" fontId="0" fillId="0" borderId="7" xfId="0" applyBorder="1"/>
    <xf numFmtId="0" fontId="0" fillId="0" borderId="8" xfId="0" applyBorder="1" applyAlignment="1">
      <alignment horizontal="right"/>
    </xf>
    <xf numFmtId="0" fontId="0" fillId="0" borderId="0" xfId="0" applyBorder="1"/>
    <xf numFmtId="0" fontId="0" fillId="0" borderId="9" xfId="0" applyBorder="1"/>
    <xf numFmtId="0" fontId="0" fillId="0" borderId="10" xfId="0" applyBorder="1"/>
    <xf numFmtId="0" fontId="8" fillId="0" borderId="0" xfId="0" applyFont="1" applyBorder="1" applyAlignment="1">
      <alignment horizontal="right"/>
    </xf>
    <xf numFmtId="166" fontId="7" fillId="0" borderId="0" xfId="0" applyNumberFormat="1" applyFont="1" applyBorder="1" applyAlignment="1">
      <alignment horizontal="left"/>
    </xf>
    <xf numFmtId="0" fontId="9" fillId="0" borderId="0" xfId="0" applyFont="1" applyBorder="1" applyAlignment="1">
      <alignment horizontal="left"/>
    </xf>
    <xf numFmtId="0" fontId="7" fillId="0" borderId="0" xfId="0" applyFont="1" applyBorder="1" applyAlignment="1">
      <alignment horizontal="right"/>
    </xf>
    <xf numFmtId="165" fontId="7" fillId="0" borderId="0" xfId="0" applyNumberFormat="1" applyFont="1" applyBorder="1" applyAlignment="1">
      <alignment horizontal="left"/>
    </xf>
    <xf numFmtId="0" fontId="8" fillId="0" borderId="0" xfId="0" applyFont="1" applyBorder="1" applyAlignment="1">
      <alignment horizontal="left" indent="1"/>
    </xf>
    <xf numFmtId="0" fontId="0" fillId="0" borderId="0" xfId="0" applyBorder="1" applyAlignment="1">
      <alignment horizontal="center"/>
    </xf>
    <xf numFmtId="166" fontId="7" fillId="0" borderId="0" xfId="0" applyNumberFormat="1" applyFont="1" applyBorder="1" applyAlignment="1">
      <alignment horizontal="left" indent="1"/>
    </xf>
    <xf numFmtId="2" fontId="0" fillId="0" borderId="0" xfId="0" applyNumberFormat="1" applyBorder="1" applyAlignment="1">
      <alignment horizontal="center"/>
    </xf>
    <xf numFmtId="167" fontId="7" fillId="0" borderId="0" xfId="0" applyNumberFormat="1" applyFont="1" applyBorder="1" applyAlignment="1">
      <alignment horizontal="center"/>
    </xf>
    <xf numFmtId="167" fontId="7" fillId="0" borderId="0" xfId="0" applyNumberFormat="1" applyFont="1" applyBorder="1" applyAlignment="1">
      <alignment horizontal="right"/>
    </xf>
    <xf numFmtId="0" fontId="8" fillId="0" borderId="0" xfId="0" applyFont="1" applyBorder="1" applyAlignment="1">
      <alignment horizontal="center"/>
    </xf>
    <xf numFmtId="167" fontId="7" fillId="0" borderId="0" xfId="0" applyNumberFormat="1" applyFont="1" applyBorder="1" applyAlignment="1">
      <alignment horizontal="left"/>
    </xf>
    <xf numFmtId="167" fontId="7" fillId="0" borderId="0" xfId="0" applyNumberFormat="1" applyFont="1" applyBorder="1" applyAlignment="1">
      <alignment horizontal="left" indent="1"/>
    </xf>
    <xf numFmtId="167" fontId="0" fillId="0" borderId="10" xfId="0" applyNumberFormat="1" applyBorder="1"/>
    <xf numFmtId="0" fontId="21" fillId="0" borderId="0" xfId="0" applyFont="1" applyBorder="1" applyAlignment="1">
      <alignment horizontal="left"/>
    </xf>
    <xf numFmtId="0" fontId="1" fillId="0" borderId="0" xfId="0" applyFont="1" applyFill="1" applyBorder="1" applyAlignment="1">
      <alignment horizontal="center"/>
    </xf>
    <xf numFmtId="0" fontId="0" fillId="0" borderId="14" xfId="0" applyBorder="1"/>
    <xf numFmtId="0" fontId="0" fillId="0" borderId="15" xfId="0" applyBorder="1"/>
    <xf numFmtId="0" fontId="0" fillId="0" borderId="9" xfId="0" applyBorder="1" applyAlignment="1">
      <alignment horizontal="right"/>
    </xf>
    <xf numFmtId="0" fontId="0" fillId="0" borderId="0" xfId="0" applyBorder="1" applyAlignment="1">
      <alignment horizontal="left"/>
    </xf>
    <xf numFmtId="0" fontId="21" fillId="0" borderId="10" xfId="0" applyFont="1" applyBorder="1" applyAlignment="1">
      <alignment horizontal="left"/>
    </xf>
    <xf numFmtId="0" fontId="24" fillId="0" borderId="0" xfId="0" applyFont="1"/>
    <xf numFmtId="2" fontId="25" fillId="0" borderId="0" xfId="0" applyNumberFormat="1" applyFont="1" applyFill="1"/>
    <xf numFmtId="0" fontId="27" fillId="0" borderId="0" xfId="2" applyFont="1"/>
    <xf numFmtId="0" fontId="28" fillId="0" borderId="0" xfId="2" applyFont="1" applyAlignment="1">
      <alignment horizontal="left"/>
    </xf>
    <xf numFmtId="0" fontId="28" fillId="0" borderId="0" xfId="2" applyFont="1"/>
    <xf numFmtId="0" fontId="28" fillId="0" borderId="0" xfId="2" applyFont="1" applyAlignment="1">
      <alignment horizontal="right"/>
    </xf>
    <xf numFmtId="0" fontId="27" fillId="0" borderId="0" xfId="2" applyFont="1" applyAlignment="1">
      <alignment horizontal="center"/>
    </xf>
    <xf numFmtId="0" fontId="27" fillId="0" borderId="17" xfId="2" applyFont="1" applyBorder="1" applyAlignment="1">
      <alignment horizontal="center"/>
    </xf>
    <xf numFmtId="0" fontId="28" fillId="3" borderId="0" xfId="2" applyFont="1" applyFill="1" applyAlignment="1">
      <alignment horizontal="center"/>
    </xf>
    <xf numFmtId="2" fontId="28" fillId="0" borderId="0" xfId="2" applyNumberFormat="1" applyFont="1"/>
    <xf numFmtId="0" fontId="6" fillId="0" borderId="0" xfId="2" applyFont="1" applyAlignment="1">
      <alignment horizontal="right"/>
    </xf>
    <xf numFmtId="0" fontId="28" fillId="0" borderId="18" xfId="2" applyFont="1" applyBorder="1"/>
    <xf numFmtId="0" fontId="27" fillId="0" borderId="19" xfId="2" applyFont="1" applyBorder="1"/>
    <xf numFmtId="0" fontId="28" fillId="0" borderId="20" xfId="2" applyFont="1" applyBorder="1"/>
    <xf numFmtId="0" fontId="27" fillId="0" borderId="22" xfId="2" applyFont="1" applyBorder="1"/>
    <xf numFmtId="0" fontId="28" fillId="0" borderId="23" xfId="2" applyFont="1" applyBorder="1"/>
    <xf numFmtId="0" fontId="27" fillId="0" borderId="24" xfId="2" applyFont="1" applyBorder="1"/>
    <xf numFmtId="0" fontId="27" fillId="0" borderId="6" xfId="2" applyFont="1" applyBorder="1" applyAlignment="1">
      <alignment horizontal="center"/>
    </xf>
    <xf numFmtId="0" fontId="27" fillId="0" borderId="1" xfId="2" applyFont="1" applyBorder="1" applyAlignment="1">
      <alignment horizontal="center"/>
    </xf>
    <xf numFmtId="2" fontId="27" fillId="0" borderId="21" xfId="2" applyNumberFormat="1" applyFont="1" applyBorder="1" applyAlignment="1">
      <alignment horizontal="center"/>
    </xf>
    <xf numFmtId="2" fontId="27" fillId="0" borderId="1" xfId="2" applyNumberFormat="1" applyFont="1" applyBorder="1" applyAlignment="1">
      <alignment horizontal="center"/>
    </xf>
    <xf numFmtId="0" fontId="0" fillId="0" borderId="29" xfId="0" applyBorder="1"/>
    <xf numFmtId="0" fontId="0" fillId="0" borderId="30" xfId="0" applyBorder="1"/>
    <xf numFmtId="0" fontId="0" fillId="0" borderId="31" xfId="0" applyBorder="1"/>
    <xf numFmtId="0" fontId="0" fillId="0" borderId="0" xfId="0"/>
    <xf numFmtId="0" fontId="1" fillId="2" borderId="0" xfId="0" applyFont="1" applyFill="1" applyBorder="1"/>
    <xf numFmtId="0" fontId="0" fillId="0" borderId="0" xfId="0" applyFont="1" applyBorder="1"/>
    <xf numFmtId="0" fontId="1" fillId="4" borderId="1" xfId="0" applyFont="1" applyFill="1" applyBorder="1" applyAlignment="1">
      <alignment horizontal="center"/>
    </xf>
    <xf numFmtId="2" fontId="1" fillId="2" borderId="1" xfId="0" applyNumberFormat="1" applyFont="1" applyFill="1" applyBorder="1" applyAlignment="1">
      <alignment horizontal="center"/>
    </xf>
    <xf numFmtId="0" fontId="0" fillId="0" borderId="1" xfId="0" applyFill="1" applyBorder="1"/>
    <xf numFmtId="0" fontId="33" fillId="0" borderId="0" xfId="0" applyFont="1" applyAlignment="1">
      <alignment horizontal="left" vertical="top" wrapText="1"/>
    </xf>
    <xf numFmtId="0" fontId="0" fillId="0" borderId="0" xfId="0" applyAlignment="1">
      <alignment horizontal="left" vertical="top" wrapText="1"/>
    </xf>
    <xf numFmtId="0" fontId="1" fillId="2" borderId="0" xfId="0" applyFont="1" applyFill="1" applyAlignment="1">
      <alignment horizontal="center"/>
    </xf>
    <xf numFmtId="0" fontId="32" fillId="0" borderId="0" xfId="2" applyFont="1" applyAlignment="1">
      <alignment horizontal="left" wrapText="1"/>
    </xf>
    <xf numFmtId="0" fontId="31" fillId="0" borderId="0" xfId="2" applyFont="1" applyAlignment="1">
      <alignment horizontal="center"/>
    </xf>
    <xf numFmtId="0" fontId="30" fillId="0" borderId="0" xfId="2" applyFont="1" applyAlignment="1">
      <alignment horizontal="center"/>
    </xf>
    <xf numFmtId="0" fontId="27" fillId="0" borderId="0" xfId="2" applyFont="1" applyAlignment="1">
      <alignment horizontal="center"/>
    </xf>
    <xf numFmtId="0" fontId="27" fillId="0" borderId="0" xfId="2" applyFont="1" applyAlignment="1">
      <alignment horizontal="center" vertical="center"/>
    </xf>
    <xf numFmtId="0" fontId="28" fillId="0" borderId="25" xfId="2" applyFont="1" applyBorder="1" applyAlignment="1">
      <alignment horizontal="center"/>
    </xf>
    <xf numFmtId="0" fontId="28" fillId="0" borderId="26" xfId="2" applyFont="1" applyBorder="1" applyAlignment="1">
      <alignment horizontal="center"/>
    </xf>
    <xf numFmtId="0" fontId="28" fillId="0" borderId="27" xfId="2" applyFont="1" applyBorder="1" applyAlignment="1">
      <alignment horizontal="center"/>
    </xf>
    <xf numFmtId="0" fontId="21" fillId="0" borderId="1" xfId="0" applyFont="1" applyBorder="1" applyAlignment="1">
      <alignment horizontal="left"/>
    </xf>
    <xf numFmtId="0" fontId="21" fillId="0" borderId="16" xfId="0" applyFont="1" applyBorder="1" applyAlignment="1">
      <alignment horizontal="left"/>
    </xf>
    <xf numFmtId="0" fontId="1" fillId="0" borderId="8" xfId="0" applyFont="1" applyBorder="1" applyAlignment="1">
      <alignment horizontal="center"/>
    </xf>
    <xf numFmtId="0" fontId="1" fillId="0" borderId="1" xfId="0" applyFont="1" applyBorder="1" applyAlignment="1">
      <alignment horizontal="center"/>
    </xf>
    <xf numFmtId="0" fontId="7" fillId="0" borderId="11" xfId="0" applyFont="1" applyBorder="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1" fillId="0" borderId="33" xfId="0" applyFont="1" applyBorder="1" applyAlignment="1">
      <alignment horizontal="center"/>
    </xf>
    <xf numFmtId="0" fontId="1" fillId="0" borderId="3" xfId="0" applyFont="1" applyBorder="1" applyAlignment="1">
      <alignment horizontal="center"/>
    </xf>
    <xf numFmtId="0" fontId="1" fillId="0" borderId="32" xfId="0" applyFont="1" applyBorder="1" applyAlignment="1">
      <alignment horizontal="center"/>
    </xf>
    <xf numFmtId="0" fontId="22" fillId="0" borderId="9" xfId="0" applyFont="1" applyBorder="1" applyAlignment="1">
      <alignment horizontal="center" vertical="center"/>
    </xf>
    <xf numFmtId="0" fontId="22" fillId="0" borderId="0" xfId="0" applyFont="1" applyBorder="1" applyAlignment="1">
      <alignment horizontal="center" vertical="center"/>
    </xf>
    <xf numFmtId="0" fontId="22" fillId="0" borderId="10" xfId="0" applyFont="1" applyBorder="1" applyAlignment="1">
      <alignment horizontal="center" vertical="center"/>
    </xf>
    <xf numFmtId="0" fontId="1" fillId="2" borderId="0" xfId="0" applyFont="1" applyFill="1" applyBorder="1" applyAlignment="1">
      <alignment horizontal="left"/>
    </xf>
    <xf numFmtId="0" fontId="1" fillId="0" borderId="16" xfId="0" applyFont="1" applyBorder="1" applyAlignment="1">
      <alignment horizontal="center"/>
    </xf>
    <xf numFmtId="0" fontId="0" fillId="0" borderId="0" xfId="0" applyAlignment="1">
      <alignment horizontal="left"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9" fillId="0" borderId="1" xfId="0" applyFont="1" applyBorder="1" applyAlignment="1">
      <alignment horizontal="center" vertical="center" wrapText="1"/>
    </xf>
    <xf numFmtId="0" fontId="8" fillId="0" borderId="4" xfId="0" applyFont="1" applyBorder="1" applyAlignment="1">
      <alignment horizontal="left"/>
    </xf>
    <xf numFmtId="0" fontId="8" fillId="0" borderId="0" xfId="0" applyFont="1" applyBorder="1" applyAlignment="1">
      <alignment horizontal="left"/>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 xfId="0" applyFont="1" applyBorder="1" applyAlignment="1">
      <alignment horizontal="left" vertical="center" wrapText="1"/>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6" fillId="0" borderId="0" xfId="0" applyFont="1" applyBorder="1" applyAlignment="1">
      <alignment horizontal="left" vertical="center"/>
    </xf>
    <xf numFmtId="0" fontId="8" fillId="0" borderId="1" xfId="0" applyFont="1" applyBorder="1" applyAlignment="1">
      <alignment horizontal="left"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7" fillId="0" borderId="1" xfId="0" applyFont="1" applyBorder="1" applyAlignment="1">
      <alignment horizontal="center"/>
    </xf>
    <xf numFmtId="0" fontId="16" fillId="0" borderId="1" xfId="0" applyFont="1" applyBorder="1" applyAlignment="1">
      <alignment horizontal="left" vertical="center" wrapText="1"/>
    </xf>
    <xf numFmtId="0" fontId="7" fillId="0" borderId="1" xfId="0" applyFont="1" applyBorder="1" applyAlignment="1">
      <alignment horizontal="left" wrapText="1"/>
    </xf>
    <xf numFmtId="0" fontId="7" fillId="0" borderId="0" xfId="0" applyFont="1" applyFill="1" applyBorder="1" applyAlignment="1">
      <alignment horizontal="left" vertical="center" wrapText="1"/>
    </xf>
    <xf numFmtId="0" fontId="1" fillId="0" borderId="5" xfId="0" applyFont="1" applyBorder="1" applyAlignment="1">
      <alignment horizontal="center"/>
    </xf>
    <xf numFmtId="0" fontId="1" fillId="0" borderId="28" xfId="0" applyFont="1" applyBorder="1" applyAlignment="1">
      <alignment horizontal="center"/>
    </xf>
  </cellXfs>
  <cellStyles count="4">
    <cellStyle name="Hyperlink" xfId="1" builtinId="8"/>
    <cellStyle name="Normal" xfId="0" builtinId="0"/>
    <cellStyle name="Normal 2" xfId="2"/>
    <cellStyle name="Normal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609601</xdr:colOff>
      <xdr:row>19</xdr:row>
      <xdr:rowOff>67205</xdr:rowOff>
    </xdr:from>
    <xdr:to>
      <xdr:col>7</xdr:col>
      <xdr:colOff>200026</xdr:colOff>
      <xdr:row>45</xdr:row>
      <xdr:rowOff>152400</xdr:rowOff>
    </xdr:to>
    <xdr:grpSp>
      <xdr:nvGrpSpPr>
        <xdr:cNvPr id="2" name="Group 1"/>
        <xdr:cNvGrpSpPr/>
      </xdr:nvGrpSpPr>
      <xdr:grpSpPr>
        <a:xfrm>
          <a:off x="1809751" y="3924830"/>
          <a:ext cx="4086225" cy="5085820"/>
          <a:chOff x="6185817" y="1554763"/>
          <a:chExt cx="4296253" cy="4642628"/>
        </a:xfrm>
      </xdr:grpSpPr>
      <xdr:cxnSp macro="">
        <xdr:nvCxnSpPr>
          <xdr:cNvPr id="3" name="Straight Connector 2"/>
          <xdr:cNvCxnSpPr/>
        </xdr:nvCxnSpPr>
        <xdr:spPr>
          <a:xfrm flipV="1">
            <a:off x="6185817" y="5389409"/>
            <a:ext cx="4125460" cy="21013"/>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4" name="Oval 3"/>
          <xdr:cNvSpPr/>
        </xdr:nvSpPr>
        <xdr:spPr>
          <a:xfrm>
            <a:off x="8718185" y="2848477"/>
            <a:ext cx="47625" cy="61233"/>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5" name="Straight Connector 4"/>
          <xdr:cNvCxnSpPr/>
        </xdr:nvCxnSpPr>
        <xdr:spPr>
          <a:xfrm>
            <a:off x="7637929" y="2918355"/>
            <a:ext cx="488345" cy="488014"/>
          </a:xfrm>
          <a:prstGeom prst="line">
            <a:avLst/>
          </a:prstGeom>
        </xdr:spPr>
        <xdr:style>
          <a:lnRef idx="1">
            <a:schemeClr val="accent1"/>
          </a:lnRef>
          <a:fillRef idx="0">
            <a:schemeClr val="accent1"/>
          </a:fillRef>
          <a:effectRef idx="0">
            <a:schemeClr val="accent1"/>
          </a:effectRef>
          <a:fontRef idx="minor">
            <a:schemeClr val="tx1"/>
          </a:fontRef>
        </xdr:style>
      </xdr:cxnSp>
      <xdr:grpSp>
        <xdr:nvGrpSpPr>
          <xdr:cNvPr id="6" name="Group 5"/>
          <xdr:cNvGrpSpPr/>
        </xdr:nvGrpSpPr>
        <xdr:grpSpPr>
          <a:xfrm>
            <a:off x="6836294" y="1554763"/>
            <a:ext cx="3645776" cy="4642628"/>
            <a:chOff x="6831724" y="1542768"/>
            <a:chExt cx="3645776" cy="4638629"/>
          </a:xfrm>
        </xdr:grpSpPr>
        <xdr:sp macro="" textlink="">
          <xdr:nvSpPr>
            <xdr:cNvPr id="7" name="Freeform 6"/>
            <xdr:cNvSpPr/>
          </xdr:nvSpPr>
          <xdr:spPr>
            <a:xfrm>
              <a:off x="7965678" y="2454232"/>
              <a:ext cx="1981804" cy="965799"/>
            </a:xfrm>
            <a:custGeom>
              <a:avLst/>
              <a:gdLst>
                <a:gd name="connsiteX0" fmla="*/ 294139 w 1981804"/>
                <a:gd name="connsiteY0" fmla="*/ 953372 h 965799"/>
                <a:gd name="connsiteX1" fmla="*/ 364896 w 1981804"/>
                <a:gd name="connsiteY1" fmla="*/ 828187 h 965799"/>
                <a:gd name="connsiteX2" fmla="*/ 713239 w 1981804"/>
                <a:gd name="connsiteY2" fmla="*/ 741101 h 965799"/>
                <a:gd name="connsiteX3" fmla="*/ 724125 w 1981804"/>
                <a:gd name="connsiteY3" fmla="*/ 670344 h 965799"/>
                <a:gd name="connsiteX4" fmla="*/ 843868 w 1981804"/>
                <a:gd name="connsiteY4" fmla="*/ 599587 h 965799"/>
                <a:gd name="connsiteX5" fmla="*/ 1018039 w 1981804"/>
                <a:gd name="connsiteY5" fmla="*/ 599587 h 965799"/>
                <a:gd name="connsiteX6" fmla="*/ 1132339 w 1981804"/>
                <a:gd name="connsiteY6" fmla="*/ 539715 h 965799"/>
                <a:gd name="connsiteX7" fmla="*/ 1219425 w 1981804"/>
                <a:gd name="connsiteY7" fmla="*/ 474401 h 965799"/>
                <a:gd name="connsiteX8" fmla="*/ 1464353 w 1981804"/>
                <a:gd name="connsiteY8" fmla="*/ 441744 h 965799"/>
                <a:gd name="connsiteX9" fmla="*/ 1573211 w 1981804"/>
                <a:gd name="connsiteY9" fmla="*/ 251244 h 965799"/>
                <a:gd name="connsiteX10" fmla="*/ 1769153 w 1981804"/>
                <a:gd name="connsiteY10" fmla="*/ 202258 h 965799"/>
                <a:gd name="connsiteX11" fmla="*/ 1926996 w 1981804"/>
                <a:gd name="connsiteY11" fmla="*/ 131501 h 965799"/>
                <a:gd name="connsiteX12" fmla="*/ 1981425 w 1981804"/>
                <a:gd name="connsiteY12" fmla="*/ 11758 h 965799"/>
                <a:gd name="connsiteX13" fmla="*/ 1905225 w 1981804"/>
                <a:gd name="connsiteY13" fmla="*/ 6315 h 965799"/>
                <a:gd name="connsiteX14" fmla="*/ 1801811 w 1981804"/>
                <a:gd name="connsiteY14" fmla="*/ 28087 h 965799"/>
                <a:gd name="connsiteX15" fmla="*/ 1725611 w 1981804"/>
                <a:gd name="connsiteY15" fmla="*/ 60744 h 965799"/>
                <a:gd name="connsiteX16" fmla="*/ 1573211 w 1981804"/>
                <a:gd name="connsiteY16" fmla="*/ 49858 h 965799"/>
                <a:gd name="connsiteX17" fmla="*/ 1453468 w 1981804"/>
                <a:gd name="connsiteY17" fmla="*/ 22644 h 965799"/>
                <a:gd name="connsiteX18" fmla="*/ 1311953 w 1981804"/>
                <a:gd name="connsiteY18" fmla="*/ 55301 h 965799"/>
                <a:gd name="connsiteX19" fmla="*/ 1262968 w 1981804"/>
                <a:gd name="connsiteY19" fmla="*/ 71630 h 965799"/>
                <a:gd name="connsiteX20" fmla="*/ 1164996 w 1981804"/>
                <a:gd name="connsiteY20" fmla="*/ 126058 h 965799"/>
                <a:gd name="connsiteX21" fmla="*/ 1094239 w 1981804"/>
                <a:gd name="connsiteY21" fmla="*/ 147830 h 965799"/>
                <a:gd name="connsiteX22" fmla="*/ 1012596 w 1981804"/>
                <a:gd name="connsiteY22" fmla="*/ 98844 h 965799"/>
                <a:gd name="connsiteX23" fmla="*/ 974496 w 1981804"/>
                <a:gd name="connsiteY23" fmla="*/ 33530 h 965799"/>
                <a:gd name="connsiteX24" fmla="*/ 909182 w 1981804"/>
                <a:gd name="connsiteY24" fmla="*/ 22644 h 965799"/>
                <a:gd name="connsiteX25" fmla="*/ 816653 w 1981804"/>
                <a:gd name="connsiteY25" fmla="*/ 55301 h 965799"/>
                <a:gd name="connsiteX26" fmla="*/ 647925 w 1981804"/>
                <a:gd name="connsiteY26" fmla="*/ 169601 h 965799"/>
                <a:gd name="connsiteX27" fmla="*/ 533625 w 1981804"/>
                <a:gd name="connsiteY27" fmla="*/ 256687 h 965799"/>
                <a:gd name="connsiteX28" fmla="*/ 354011 w 1981804"/>
                <a:gd name="connsiteY28" fmla="*/ 468958 h 965799"/>
                <a:gd name="connsiteX29" fmla="*/ 288696 w 1981804"/>
                <a:gd name="connsiteY29" fmla="*/ 539715 h 965799"/>
                <a:gd name="connsiteX30" fmla="*/ 174396 w 1981804"/>
                <a:gd name="connsiteY30" fmla="*/ 599587 h 965799"/>
                <a:gd name="connsiteX31" fmla="*/ 43768 w 1981804"/>
                <a:gd name="connsiteY31" fmla="*/ 719330 h 965799"/>
                <a:gd name="connsiteX32" fmla="*/ 225 w 1981804"/>
                <a:gd name="connsiteY32" fmla="*/ 833630 h 965799"/>
                <a:gd name="connsiteX33" fmla="*/ 27439 w 1981804"/>
                <a:gd name="connsiteY33" fmla="*/ 926158 h 965799"/>
                <a:gd name="connsiteX34" fmla="*/ 43768 w 1981804"/>
                <a:gd name="connsiteY34" fmla="*/ 958815 h 965799"/>
                <a:gd name="connsiteX35" fmla="*/ 294139 w 1981804"/>
                <a:gd name="connsiteY35" fmla="*/ 953372 h 9657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1981804" h="965799">
                  <a:moveTo>
                    <a:pt x="294139" y="953372"/>
                  </a:moveTo>
                  <a:cubicBezTo>
                    <a:pt x="347660" y="931601"/>
                    <a:pt x="295046" y="863565"/>
                    <a:pt x="364896" y="828187"/>
                  </a:cubicBezTo>
                  <a:cubicBezTo>
                    <a:pt x="434746" y="792809"/>
                    <a:pt x="653367" y="767408"/>
                    <a:pt x="713239" y="741101"/>
                  </a:cubicBezTo>
                  <a:cubicBezTo>
                    <a:pt x="773111" y="714794"/>
                    <a:pt x="702354" y="693930"/>
                    <a:pt x="724125" y="670344"/>
                  </a:cubicBezTo>
                  <a:cubicBezTo>
                    <a:pt x="745897" y="646758"/>
                    <a:pt x="794882" y="611380"/>
                    <a:pt x="843868" y="599587"/>
                  </a:cubicBezTo>
                  <a:cubicBezTo>
                    <a:pt x="892854" y="587794"/>
                    <a:pt x="969961" y="609566"/>
                    <a:pt x="1018039" y="599587"/>
                  </a:cubicBezTo>
                  <a:cubicBezTo>
                    <a:pt x="1066117" y="589608"/>
                    <a:pt x="1098775" y="560579"/>
                    <a:pt x="1132339" y="539715"/>
                  </a:cubicBezTo>
                  <a:cubicBezTo>
                    <a:pt x="1165903" y="518851"/>
                    <a:pt x="1164089" y="490729"/>
                    <a:pt x="1219425" y="474401"/>
                  </a:cubicBezTo>
                  <a:cubicBezTo>
                    <a:pt x="1274761" y="458073"/>
                    <a:pt x="1405389" y="478937"/>
                    <a:pt x="1464353" y="441744"/>
                  </a:cubicBezTo>
                  <a:cubicBezTo>
                    <a:pt x="1523317" y="404551"/>
                    <a:pt x="1522411" y="291158"/>
                    <a:pt x="1573211" y="251244"/>
                  </a:cubicBezTo>
                  <a:cubicBezTo>
                    <a:pt x="1624011" y="211330"/>
                    <a:pt x="1710189" y="222215"/>
                    <a:pt x="1769153" y="202258"/>
                  </a:cubicBezTo>
                  <a:cubicBezTo>
                    <a:pt x="1828117" y="182301"/>
                    <a:pt x="1891617" y="163251"/>
                    <a:pt x="1926996" y="131501"/>
                  </a:cubicBezTo>
                  <a:cubicBezTo>
                    <a:pt x="1962375" y="99751"/>
                    <a:pt x="1985053" y="32622"/>
                    <a:pt x="1981425" y="11758"/>
                  </a:cubicBezTo>
                  <a:cubicBezTo>
                    <a:pt x="1977797" y="-9106"/>
                    <a:pt x="1935161" y="3594"/>
                    <a:pt x="1905225" y="6315"/>
                  </a:cubicBezTo>
                  <a:cubicBezTo>
                    <a:pt x="1875289" y="9036"/>
                    <a:pt x="1831747" y="19016"/>
                    <a:pt x="1801811" y="28087"/>
                  </a:cubicBezTo>
                  <a:cubicBezTo>
                    <a:pt x="1771875" y="37158"/>
                    <a:pt x="1763711" y="57115"/>
                    <a:pt x="1725611" y="60744"/>
                  </a:cubicBezTo>
                  <a:cubicBezTo>
                    <a:pt x="1687511" y="64372"/>
                    <a:pt x="1618568" y="56208"/>
                    <a:pt x="1573211" y="49858"/>
                  </a:cubicBezTo>
                  <a:cubicBezTo>
                    <a:pt x="1527854" y="43508"/>
                    <a:pt x="1497011" y="21737"/>
                    <a:pt x="1453468" y="22644"/>
                  </a:cubicBezTo>
                  <a:cubicBezTo>
                    <a:pt x="1409925" y="23551"/>
                    <a:pt x="1343703" y="47137"/>
                    <a:pt x="1311953" y="55301"/>
                  </a:cubicBezTo>
                  <a:cubicBezTo>
                    <a:pt x="1280203" y="63465"/>
                    <a:pt x="1287461" y="59837"/>
                    <a:pt x="1262968" y="71630"/>
                  </a:cubicBezTo>
                  <a:cubicBezTo>
                    <a:pt x="1238475" y="83423"/>
                    <a:pt x="1193118" y="113358"/>
                    <a:pt x="1164996" y="126058"/>
                  </a:cubicBezTo>
                  <a:cubicBezTo>
                    <a:pt x="1136875" y="138758"/>
                    <a:pt x="1119639" y="152366"/>
                    <a:pt x="1094239" y="147830"/>
                  </a:cubicBezTo>
                  <a:cubicBezTo>
                    <a:pt x="1068839" y="143294"/>
                    <a:pt x="1032553" y="117894"/>
                    <a:pt x="1012596" y="98844"/>
                  </a:cubicBezTo>
                  <a:cubicBezTo>
                    <a:pt x="992639" y="79794"/>
                    <a:pt x="991732" y="46230"/>
                    <a:pt x="974496" y="33530"/>
                  </a:cubicBezTo>
                  <a:cubicBezTo>
                    <a:pt x="957260" y="20830"/>
                    <a:pt x="935489" y="19016"/>
                    <a:pt x="909182" y="22644"/>
                  </a:cubicBezTo>
                  <a:cubicBezTo>
                    <a:pt x="882875" y="26272"/>
                    <a:pt x="860196" y="30808"/>
                    <a:pt x="816653" y="55301"/>
                  </a:cubicBezTo>
                  <a:cubicBezTo>
                    <a:pt x="773110" y="79794"/>
                    <a:pt x="695096" y="136037"/>
                    <a:pt x="647925" y="169601"/>
                  </a:cubicBezTo>
                  <a:cubicBezTo>
                    <a:pt x="600754" y="203165"/>
                    <a:pt x="582611" y="206794"/>
                    <a:pt x="533625" y="256687"/>
                  </a:cubicBezTo>
                  <a:cubicBezTo>
                    <a:pt x="484639" y="306580"/>
                    <a:pt x="394832" y="421787"/>
                    <a:pt x="354011" y="468958"/>
                  </a:cubicBezTo>
                  <a:cubicBezTo>
                    <a:pt x="313190" y="516129"/>
                    <a:pt x="318632" y="517944"/>
                    <a:pt x="288696" y="539715"/>
                  </a:cubicBezTo>
                  <a:cubicBezTo>
                    <a:pt x="258760" y="561486"/>
                    <a:pt x="215217" y="569651"/>
                    <a:pt x="174396" y="599587"/>
                  </a:cubicBezTo>
                  <a:cubicBezTo>
                    <a:pt x="133575" y="629523"/>
                    <a:pt x="72796" y="680323"/>
                    <a:pt x="43768" y="719330"/>
                  </a:cubicBezTo>
                  <a:cubicBezTo>
                    <a:pt x="14739" y="758337"/>
                    <a:pt x="2946" y="799159"/>
                    <a:pt x="225" y="833630"/>
                  </a:cubicBezTo>
                  <a:cubicBezTo>
                    <a:pt x="-2497" y="868101"/>
                    <a:pt x="20182" y="905294"/>
                    <a:pt x="27439" y="926158"/>
                  </a:cubicBezTo>
                  <a:cubicBezTo>
                    <a:pt x="34696" y="947022"/>
                    <a:pt x="-1589" y="955186"/>
                    <a:pt x="43768" y="958815"/>
                  </a:cubicBezTo>
                  <a:cubicBezTo>
                    <a:pt x="89125" y="962444"/>
                    <a:pt x="240618" y="975143"/>
                    <a:pt x="294139" y="953372"/>
                  </a:cubicBezTo>
                  <a:close/>
                </a:path>
              </a:pathLst>
            </a:cu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8" name="Straight Connector 7"/>
            <xdr:cNvCxnSpPr/>
          </xdr:nvCxnSpPr>
          <xdr:spPr>
            <a:xfrm>
              <a:off x="6831724" y="3415862"/>
              <a:ext cx="3612931" cy="13138"/>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9" name="Straight Arrow Connector 8"/>
            <xdr:cNvCxnSpPr/>
          </xdr:nvCxnSpPr>
          <xdr:spPr>
            <a:xfrm>
              <a:off x="8763000" y="2903483"/>
              <a:ext cx="1688224" cy="2443655"/>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 name="Straight Arrow Connector 9"/>
            <xdr:cNvCxnSpPr/>
          </xdr:nvCxnSpPr>
          <xdr:spPr>
            <a:xfrm>
              <a:off x="8743293" y="2896914"/>
              <a:ext cx="39414" cy="2483069"/>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1" name="Straight Arrow Connector 10"/>
            <xdr:cNvCxnSpPr/>
          </xdr:nvCxnSpPr>
          <xdr:spPr>
            <a:xfrm>
              <a:off x="8795845" y="5677556"/>
              <a:ext cx="1668517" cy="0"/>
            </a:xfrm>
            <a:prstGeom prst="straightConnector1">
              <a:avLst/>
            </a:prstGeom>
            <a:ln>
              <a:prstDash val="sysDash"/>
              <a:headEnd type="triangl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 name="Straight Arrow Connector 11"/>
            <xdr:cNvCxnSpPr/>
          </xdr:nvCxnSpPr>
          <xdr:spPr>
            <a:xfrm flipV="1">
              <a:off x="8158655" y="6063155"/>
              <a:ext cx="2305707" cy="6569"/>
            </a:xfrm>
            <a:prstGeom prst="straightConnector1">
              <a:avLst/>
            </a:prstGeom>
            <a:ln>
              <a:prstDash val="sysDash"/>
              <a:headEnd type="triangl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 name="Straight Connector 12"/>
            <xdr:cNvCxnSpPr/>
          </xdr:nvCxnSpPr>
          <xdr:spPr>
            <a:xfrm>
              <a:off x="8132379" y="5222328"/>
              <a:ext cx="26276" cy="959069"/>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4" name="Straight Connector 13"/>
            <xdr:cNvCxnSpPr/>
          </xdr:nvCxnSpPr>
          <xdr:spPr>
            <a:xfrm>
              <a:off x="10457793" y="5222328"/>
              <a:ext cx="19707" cy="95250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5" name="Straight Connector 14"/>
            <xdr:cNvCxnSpPr/>
          </xdr:nvCxnSpPr>
          <xdr:spPr>
            <a:xfrm flipH="1" flipV="1">
              <a:off x="7890440" y="4483708"/>
              <a:ext cx="12026" cy="896275"/>
            </a:xfrm>
            <a:prstGeom prst="line">
              <a:avLst/>
            </a:prstGeom>
            <a:ln w="28575"/>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xdr:cNvCxnSpPr/>
          </xdr:nvCxnSpPr>
          <xdr:spPr>
            <a:xfrm flipH="1" flipV="1">
              <a:off x="8416737" y="4432047"/>
              <a:ext cx="11246" cy="954505"/>
            </a:xfrm>
            <a:prstGeom prst="line">
              <a:avLst/>
            </a:prstGeom>
            <a:ln w="28575"/>
          </xdr:spPr>
          <xdr:style>
            <a:lnRef idx="1">
              <a:schemeClr val="accent1"/>
            </a:lnRef>
            <a:fillRef idx="0">
              <a:schemeClr val="accent1"/>
            </a:fillRef>
            <a:effectRef idx="0">
              <a:schemeClr val="accent1"/>
            </a:effectRef>
            <a:fontRef idx="minor">
              <a:schemeClr val="tx1"/>
            </a:fontRef>
          </xdr:style>
        </xdr:cxnSp>
        <xdr:sp macro="" textlink="">
          <xdr:nvSpPr>
            <xdr:cNvPr id="17" name="Freeform 16"/>
            <xdr:cNvSpPr/>
          </xdr:nvSpPr>
          <xdr:spPr>
            <a:xfrm>
              <a:off x="7890373" y="4415365"/>
              <a:ext cx="523135" cy="71572"/>
            </a:xfrm>
            <a:custGeom>
              <a:avLst/>
              <a:gdLst>
                <a:gd name="connsiteX0" fmla="*/ 523135 w 523135"/>
                <a:gd name="connsiteY0" fmla="*/ 32826 h 71572"/>
                <a:gd name="connsiteX1" fmla="*/ 506991 w 523135"/>
                <a:gd name="connsiteY1" fmla="*/ 26369 h 71572"/>
                <a:gd name="connsiteX2" fmla="*/ 497305 w 523135"/>
                <a:gd name="connsiteY2" fmla="*/ 19911 h 71572"/>
                <a:gd name="connsiteX3" fmla="*/ 487618 w 523135"/>
                <a:gd name="connsiteY3" fmla="*/ 23140 h 71572"/>
                <a:gd name="connsiteX4" fmla="*/ 387525 w 523135"/>
                <a:gd name="connsiteY4" fmla="*/ 16682 h 71572"/>
                <a:gd name="connsiteX5" fmla="*/ 364923 w 523135"/>
                <a:gd name="connsiteY5" fmla="*/ 10225 h 71572"/>
                <a:gd name="connsiteX6" fmla="*/ 342322 w 523135"/>
                <a:gd name="connsiteY6" fmla="*/ 6996 h 71572"/>
                <a:gd name="connsiteX7" fmla="*/ 284203 w 523135"/>
                <a:gd name="connsiteY7" fmla="*/ 3767 h 71572"/>
                <a:gd name="connsiteX8" fmla="*/ 264830 w 523135"/>
                <a:gd name="connsiteY8" fmla="*/ 13454 h 71572"/>
                <a:gd name="connsiteX9" fmla="*/ 258372 w 523135"/>
                <a:gd name="connsiteY9" fmla="*/ 23140 h 71572"/>
                <a:gd name="connsiteX10" fmla="*/ 239000 w 523135"/>
                <a:gd name="connsiteY10" fmla="*/ 29598 h 71572"/>
                <a:gd name="connsiteX11" fmla="*/ 229313 w 523135"/>
                <a:gd name="connsiteY11" fmla="*/ 36055 h 71572"/>
                <a:gd name="connsiteX12" fmla="*/ 222855 w 523135"/>
                <a:gd name="connsiteY12" fmla="*/ 45742 h 71572"/>
                <a:gd name="connsiteX13" fmla="*/ 171194 w 523135"/>
                <a:gd name="connsiteY13" fmla="*/ 39284 h 71572"/>
                <a:gd name="connsiteX14" fmla="*/ 155050 w 523135"/>
                <a:gd name="connsiteY14" fmla="*/ 36055 h 71572"/>
                <a:gd name="connsiteX15" fmla="*/ 35584 w 523135"/>
                <a:gd name="connsiteY15" fmla="*/ 39284 h 71572"/>
                <a:gd name="connsiteX16" fmla="*/ 25898 w 523135"/>
                <a:gd name="connsiteY16" fmla="*/ 42513 h 71572"/>
                <a:gd name="connsiteX17" fmla="*/ 6525 w 523135"/>
                <a:gd name="connsiteY17" fmla="*/ 55428 h 71572"/>
                <a:gd name="connsiteX18" fmla="*/ 67 w 523135"/>
                <a:gd name="connsiteY18" fmla="*/ 71572 h 7157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523135" h="71572">
                  <a:moveTo>
                    <a:pt x="523135" y="32826"/>
                  </a:moveTo>
                  <a:cubicBezTo>
                    <a:pt x="517754" y="30674"/>
                    <a:pt x="512175" y="28961"/>
                    <a:pt x="506991" y="26369"/>
                  </a:cubicBezTo>
                  <a:cubicBezTo>
                    <a:pt x="503520" y="24634"/>
                    <a:pt x="501133" y="20549"/>
                    <a:pt x="497305" y="19911"/>
                  </a:cubicBezTo>
                  <a:cubicBezTo>
                    <a:pt x="493948" y="19351"/>
                    <a:pt x="490847" y="22064"/>
                    <a:pt x="487618" y="23140"/>
                  </a:cubicBezTo>
                  <a:cubicBezTo>
                    <a:pt x="460585" y="21853"/>
                    <a:pt x="417673" y="20989"/>
                    <a:pt x="387525" y="16682"/>
                  </a:cubicBezTo>
                  <a:cubicBezTo>
                    <a:pt x="359437" y="12670"/>
                    <a:pt x="387925" y="14826"/>
                    <a:pt x="364923" y="10225"/>
                  </a:cubicBezTo>
                  <a:cubicBezTo>
                    <a:pt x="357461" y="8732"/>
                    <a:pt x="349856" y="8072"/>
                    <a:pt x="342322" y="6996"/>
                  </a:cubicBezTo>
                  <a:cubicBezTo>
                    <a:pt x="310654" y="-3561"/>
                    <a:pt x="329732" y="-27"/>
                    <a:pt x="284203" y="3767"/>
                  </a:cubicBezTo>
                  <a:cubicBezTo>
                    <a:pt x="276323" y="6394"/>
                    <a:pt x="271090" y="7194"/>
                    <a:pt x="264830" y="13454"/>
                  </a:cubicBezTo>
                  <a:cubicBezTo>
                    <a:pt x="262086" y="16198"/>
                    <a:pt x="261663" y="21083"/>
                    <a:pt x="258372" y="23140"/>
                  </a:cubicBezTo>
                  <a:cubicBezTo>
                    <a:pt x="252600" y="26748"/>
                    <a:pt x="244664" y="25823"/>
                    <a:pt x="239000" y="29598"/>
                  </a:cubicBezTo>
                  <a:lnTo>
                    <a:pt x="229313" y="36055"/>
                  </a:lnTo>
                  <a:cubicBezTo>
                    <a:pt x="227160" y="39284"/>
                    <a:pt x="226697" y="45193"/>
                    <a:pt x="222855" y="45742"/>
                  </a:cubicBezTo>
                  <a:cubicBezTo>
                    <a:pt x="200772" y="48897"/>
                    <a:pt x="189463" y="43344"/>
                    <a:pt x="171194" y="39284"/>
                  </a:cubicBezTo>
                  <a:cubicBezTo>
                    <a:pt x="165837" y="38093"/>
                    <a:pt x="160431" y="37131"/>
                    <a:pt x="155050" y="36055"/>
                  </a:cubicBezTo>
                  <a:cubicBezTo>
                    <a:pt x="115228" y="37131"/>
                    <a:pt x="75371" y="37295"/>
                    <a:pt x="35584" y="39284"/>
                  </a:cubicBezTo>
                  <a:cubicBezTo>
                    <a:pt x="32185" y="39454"/>
                    <a:pt x="28873" y="40860"/>
                    <a:pt x="25898" y="42513"/>
                  </a:cubicBezTo>
                  <a:cubicBezTo>
                    <a:pt x="19114" y="46282"/>
                    <a:pt x="6525" y="55428"/>
                    <a:pt x="6525" y="55428"/>
                  </a:cubicBezTo>
                  <a:cubicBezTo>
                    <a:pt x="-1127" y="66906"/>
                    <a:pt x="67" y="61234"/>
                    <a:pt x="67" y="71572"/>
                  </a:cubicBezTo>
                </a:path>
              </a:pathLst>
            </a:cu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18" name="Straight Connector 17"/>
            <xdr:cNvCxnSpPr/>
          </xdr:nvCxnSpPr>
          <xdr:spPr>
            <a:xfrm>
              <a:off x="7872639" y="3414886"/>
              <a:ext cx="15446" cy="893290"/>
            </a:xfrm>
            <a:prstGeom prst="line">
              <a:avLst/>
            </a:prstGeom>
            <a:ln w="28575"/>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xdr:cNvCxnSpPr/>
          </xdr:nvCxnSpPr>
          <xdr:spPr>
            <a:xfrm>
              <a:off x="8397801" y="3414886"/>
              <a:ext cx="18020" cy="867547"/>
            </a:xfrm>
            <a:prstGeom prst="line">
              <a:avLst/>
            </a:prstGeom>
            <a:ln w="28575"/>
          </xdr:spPr>
          <xdr:style>
            <a:lnRef idx="1">
              <a:schemeClr val="accent1"/>
            </a:lnRef>
            <a:fillRef idx="0">
              <a:schemeClr val="accent1"/>
            </a:fillRef>
            <a:effectRef idx="0">
              <a:schemeClr val="accent1"/>
            </a:effectRef>
            <a:fontRef idx="minor">
              <a:schemeClr val="tx1"/>
            </a:fontRef>
          </xdr:style>
        </xdr:cxnSp>
        <xdr:sp macro="" textlink="">
          <xdr:nvSpPr>
            <xdr:cNvPr id="20" name="Freeform 19"/>
            <xdr:cNvSpPr/>
          </xdr:nvSpPr>
          <xdr:spPr>
            <a:xfrm>
              <a:off x="7885510" y="4256690"/>
              <a:ext cx="527737" cy="48912"/>
            </a:xfrm>
            <a:custGeom>
              <a:avLst/>
              <a:gdLst>
                <a:gd name="connsiteX0" fmla="*/ 527737 w 527737"/>
                <a:gd name="connsiteY0" fmla="*/ 33466 h 48912"/>
                <a:gd name="connsiteX1" fmla="*/ 494271 w 527737"/>
                <a:gd name="connsiteY1" fmla="*/ 28318 h 48912"/>
                <a:gd name="connsiteX2" fmla="*/ 481399 w 527737"/>
                <a:gd name="connsiteY2" fmla="*/ 30892 h 48912"/>
                <a:gd name="connsiteX3" fmla="*/ 473676 w 527737"/>
                <a:gd name="connsiteY3" fmla="*/ 36041 h 48912"/>
                <a:gd name="connsiteX4" fmla="*/ 417041 w 527737"/>
                <a:gd name="connsiteY4" fmla="*/ 36041 h 48912"/>
                <a:gd name="connsiteX5" fmla="*/ 409318 w 527737"/>
                <a:gd name="connsiteY5" fmla="*/ 33466 h 48912"/>
                <a:gd name="connsiteX6" fmla="*/ 401595 w 527737"/>
                <a:gd name="connsiteY6" fmla="*/ 28318 h 48912"/>
                <a:gd name="connsiteX7" fmla="*/ 386149 w 527737"/>
                <a:gd name="connsiteY7" fmla="*/ 23169 h 48912"/>
                <a:gd name="connsiteX8" fmla="*/ 378426 w 527737"/>
                <a:gd name="connsiteY8" fmla="*/ 18020 h 48912"/>
                <a:gd name="connsiteX9" fmla="*/ 362980 w 527737"/>
                <a:gd name="connsiteY9" fmla="*/ 12872 h 48912"/>
                <a:gd name="connsiteX10" fmla="*/ 357831 w 527737"/>
                <a:gd name="connsiteY10" fmla="*/ 5149 h 48912"/>
                <a:gd name="connsiteX11" fmla="*/ 347534 w 527737"/>
                <a:gd name="connsiteY11" fmla="*/ 2574 h 48912"/>
                <a:gd name="connsiteX12" fmla="*/ 339811 w 527737"/>
                <a:gd name="connsiteY12" fmla="*/ 0 h 48912"/>
                <a:gd name="connsiteX13" fmla="*/ 278027 w 527737"/>
                <a:gd name="connsiteY13" fmla="*/ 2574 h 48912"/>
                <a:gd name="connsiteX14" fmla="*/ 262581 w 527737"/>
                <a:gd name="connsiteY14" fmla="*/ 10297 h 48912"/>
                <a:gd name="connsiteX15" fmla="*/ 247136 w 527737"/>
                <a:gd name="connsiteY15" fmla="*/ 15446 h 48912"/>
                <a:gd name="connsiteX16" fmla="*/ 239413 w 527737"/>
                <a:gd name="connsiteY16" fmla="*/ 20595 h 48912"/>
                <a:gd name="connsiteX17" fmla="*/ 229115 w 527737"/>
                <a:gd name="connsiteY17" fmla="*/ 23169 h 48912"/>
                <a:gd name="connsiteX18" fmla="*/ 195649 w 527737"/>
                <a:gd name="connsiteY18" fmla="*/ 28318 h 48912"/>
                <a:gd name="connsiteX19" fmla="*/ 169906 w 527737"/>
                <a:gd name="connsiteY19" fmla="*/ 23169 h 48912"/>
                <a:gd name="connsiteX20" fmla="*/ 154460 w 527737"/>
                <a:gd name="connsiteY20" fmla="*/ 12872 h 48912"/>
                <a:gd name="connsiteX21" fmla="*/ 139014 w 527737"/>
                <a:gd name="connsiteY21" fmla="*/ 7723 h 48912"/>
                <a:gd name="connsiteX22" fmla="*/ 69507 w 527737"/>
                <a:gd name="connsiteY22" fmla="*/ 10297 h 48912"/>
                <a:gd name="connsiteX23" fmla="*/ 61784 w 527737"/>
                <a:gd name="connsiteY23" fmla="*/ 12872 h 48912"/>
                <a:gd name="connsiteX24" fmla="*/ 43764 w 527737"/>
                <a:gd name="connsiteY24" fmla="*/ 18020 h 48912"/>
                <a:gd name="connsiteX25" fmla="*/ 38615 w 527737"/>
                <a:gd name="connsiteY25" fmla="*/ 25743 h 48912"/>
                <a:gd name="connsiteX26" fmla="*/ 23169 w 527737"/>
                <a:gd name="connsiteY26" fmla="*/ 33466 h 48912"/>
                <a:gd name="connsiteX27" fmla="*/ 15446 w 527737"/>
                <a:gd name="connsiteY27" fmla="*/ 38615 h 48912"/>
                <a:gd name="connsiteX28" fmla="*/ 0 w 527737"/>
                <a:gd name="connsiteY28" fmla="*/ 46338 h 48912"/>
                <a:gd name="connsiteX29" fmla="*/ 0 w 527737"/>
                <a:gd name="connsiteY29" fmla="*/ 48912 h 4891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Lst>
              <a:rect l="l" t="t" r="r" b="b"/>
              <a:pathLst>
                <a:path w="527737" h="48912">
                  <a:moveTo>
                    <a:pt x="527737" y="33466"/>
                  </a:moveTo>
                  <a:cubicBezTo>
                    <a:pt x="517939" y="31507"/>
                    <a:pt x="503621" y="28318"/>
                    <a:pt x="494271" y="28318"/>
                  </a:cubicBezTo>
                  <a:cubicBezTo>
                    <a:pt x="489895" y="28318"/>
                    <a:pt x="485690" y="30034"/>
                    <a:pt x="481399" y="30892"/>
                  </a:cubicBezTo>
                  <a:cubicBezTo>
                    <a:pt x="478825" y="32608"/>
                    <a:pt x="476443" y="34657"/>
                    <a:pt x="473676" y="36041"/>
                  </a:cubicBezTo>
                  <a:cubicBezTo>
                    <a:pt x="457466" y="44146"/>
                    <a:pt x="426532" y="36540"/>
                    <a:pt x="417041" y="36041"/>
                  </a:cubicBezTo>
                  <a:cubicBezTo>
                    <a:pt x="414467" y="35183"/>
                    <a:pt x="411745" y="34680"/>
                    <a:pt x="409318" y="33466"/>
                  </a:cubicBezTo>
                  <a:cubicBezTo>
                    <a:pt x="406551" y="32082"/>
                    <a:pt x="404422" y="29574"/>
                    <a:pt x="401595" y="28318"/>
                  </a:cubicBezTo>
                  <a:cubicBezTo>
                    <a:pt x="396636" y="26114"/>
                    <a:pt x="386149" y="23169"/>
                    <a:pt x="386149" y="23169"/>
                  </a:cubicBezTo>
                  <a:cubicBezTo>
                    <a:pt x="383575" y="21453"/>
                    <a:pt x="381253" y="19277"/>
                    <a:pt x="378426" y="18020"/>
                  </a:cubicBezTo>
                  <a:cubicBezTo>
                    <a:pt x="373467" y="15816"/>
                    <a:pt x="362980" y="12872"/>
                    <a:pt x="362980" y="12872"/>
                  </a:cubicBezTo>
                  <a:cubicBezTo>
                    <a:pt x="361264" y="10298"/>
                    <a:pt x="360405" y="6865"/>
                    <a:pt x="357831" y="5149"/>
                  </a:cubicBezTo>
                  <a:cubicBezTo>
                    <a:pt x="354887" y="3186"/>
                    <a:pt x="350936" y="3546"/>
                    <a:pt x="347534" y="2574"/>
                  </a:cubicBezTo>
                  <a:cubicBezTo>
                    <a:pt x="344925" y="1828"/>
                    <a:pt x="342385" y="858"/>
                    <a:pt x="339811" y="0"/>
                  </a:cubicBezTo>
                  <a:cubicBezTo>
                    <a:pt x="319216" y="858"/>
                    <a:pt x="298583" y="1051"/>
                    <a:pt x="278027" y="2574"/>
                  </a:cubicBezTo>
                  <a:cubicBezTo>
                    <a:pt x="269581" y="3200"/>
                    <a:pt x="270040" y="6982"/>
                    <a:pt x="262581" y="10297"/>
                  </a:cubicBezTo>
                  <a:cubicBezTo>
                    <a:pt x="257622" y="12501"/>
                    <a:pt x="247136" y="15446"/>
                    <a:pt x="247136" y="15446"/>
                  </a:cubicBezTo>
                  <a:cubicBezTo>
                    <a:pt x="244562" y="17162"/>
                    <a:pt x="242257" y="19376"/>
                    <a:pt x="239413" y="20595"/>
                  </a:cubicBezTo>
                  <a:cubicBezTo>
                    <a:pt x="236161" y="21989"/>
                    <a:pt x="232585" y="22475"/>
                    <a:pt x="229115" y="23169"/>
                  </a:cubicBezTo>
                  <a:cubicBezTo>
                    <a:pt x="220197" y="24952"/>
                    <a:pt x="204290" y="27083"/>
                    <a:pt x="195649" y="28318"/>
                  </a:cubicBezTo>
                  <a:cubicBezTo>
                    <a:pt x="191176" y="27679"/>
                    <a:pt x="176126" y="26624"/>
                    <a:pt x="169906" y="23169"/>
                  </a:cubicBezTo>
                  <a:cubicBezTo>
                    <a:pt x="164497" y="20164"/>
                    <a:pt x="160330" y="14829"/>
                    <a:pt x="154460" y="12872"/>
                  </a:cubicBezTo>
                  <a:lnTo>
                    <a:pt x="139014" y="7723"/>
                  </a:lnTo>
                  <a:cubicBezTo>
                    <a:pt x="115845" y="8581"/>
                    <a:pt x="92641" y="8755"/>
                    <a:pt x="69507" y="10297"/>
                  </a:cubicBezTo>
                  <a:cubicBezTo>
                    <a:pt x="66799" y="10478"/>
                    <a:pt x="64393" y="12126"/>
                    <a:pt x="61784" y="12872"/>
                  </a:cubicBezTo>
                  <a:cubicBezTo>
                    <a:pt x="39131" y="19345"/>
                    <a:pt x="62301" y="11842"/>
                    <a:pt x="43764" y="18020"/>
                  </a:cubicBezTo>
                  <a:cubicBezTo>
                    <a:pt x="42048" y="20594"/>
                    <a:pt x="40803" y="23555"/>
                    <a:pt x="38615" y="25743"/>
                  </a:cubicBezTo>
                  <a:cubicBezTo>
                    <a:pt x="33624" y="30734"/>
                    <a:pt x="29451" y="31372"/>
                    <a:pt x="23169" y="33466"/>
                  </a:cubicBezTo>
                  <a:cubicBezTo>
                    <a:pt x="20595" y="35182"/>
                    <a:pt x="18213" y="37231"/>
                    <a:pt x="15446" y="38615"/>
                  </a:cubicBezTo>
                  <a:cubicBezTo>
                    <a:pt x="7069" y="42804"/>
                    <a:pt x="7380" y="38958"/>
                    <a:pt x="0" y="46338"/>
                  </a:cubicBezTo>
                  <a:lnTo>
                    <a:pt x="0" y="48912"/>
                  </a:lnTo>
                </a:path>
              </a:pathLst>
            </a:cu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xnSp macro="">
          <xdr:nvCxnSpPr>
            <xdr:cNvPr id="21" name="Straight Arrow Connector 20"/>
            <xdr:cNvCxnSpPr/>
          </xdr:nvCxnSpPr>
          <xdr:spPr>
            <a:xfrm>
              <a:off x="8160963" y="3610167"/>
              <a:ext cx="597243" cy="2574"/>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2" name="Straight Arrow Connector 21"/>
            <xdr:cNvCxnSpPr/>
          </xdr:nvCxnSpPr>
          <xdr:spPr>
            <a:xfrm flipV="1">
              <a:off x="7875728" y="3852521"/>
              <a:ext cx="524647" cy="5664"/>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xdr:cNvCxnSpPr/>
          </xdr:nvCxnSpPr>
          <xdr:spPr>
            <a:xfrm>
              <a:off x="8125106" y="1549572"/>
              <a:ext cx="34018" cy="219685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xdr:cNvCxnSpPr>
              <a:endCxn id="7" idx="12"/>
            </xdr:cNvCxnSpPr>
          </xdr:nvCxnSpPr>
          <xdr:spPr>
            <a:xfrm>
              <a:off x="9176258" y="1705820"/>
              <a:ext cx="770845" cy="76017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5" name="Straight Connector 24"/>
            <xdr:cNvCxnSpPr>
              <a:endCxn id="7" idx="12"/>
            </xdr:cNvCxnSpPr>
          </xdr:nvCxnSpPr>
          <xdr:spPr>
            <a:xfrm>
              <a:off x="9928053" y="1542768"/>
              <a:ext cx="19050" cy="923222"/>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6" name="Straight Connector 25"/>
            <xdr:cNvCxnSpPr>
              <a:endCxn id="7" idx="12"/>
            </xdr:cNvCxnSpPr>
          </xdr:nvCxnSpPr>
          <xdr:spPr>
            <a:xfrm flipH="1" flipV="1">
              <a:off x="9947103" y="2465990"/>
              <a:ext cx="470807" cy="136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27" name="Straight Arrow Connector 26"/>
            <xdr:cNvCxnSpPr/>
          </xdr:nvCxnSpPr>
          <xdr:spPr>
            <a:xfrm>
              <a:off x="10322660" y="2470752"/>
              <a:ext cx="13607" cy="959304"/>
            </a:xfrm>
            <a:prstGeom prst="straightConnector1">
              <a:avLst/>
            </a:prstGeom>
            <a:ln>
              <a:prstDash val="sysDash"/>
              <a:headEnd type="triangl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8" name="Straight Arrow Connector 27"/>
            <xdr:cNvCxnSpPr/>
          </xdr:nvCxnSpPr>
          <xdr:spPr>
            <a:xfrm>
              <a:off x="9482419" y="2861957"/>
              <a:ext cx="13607" cy="564697"/>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9" name="Straight Connector 28"/>
            <xdr:cNvCxnSpPr/>
          </xdr:nvCxnSpPr>
          <xdr:spPr>
            <a:xfrm>
              <a:off x="8744231" y="2865359"/>
              <a:ext cx="898072" cy="0"/>
            </a:xfrm>
            <a:prstGeom prst="line">
              <a:avLst/>
            </a:prstGeom>
            <a:ln>
              <a:prstDash val="lgDashDot"/>
            </a:ln>
          </xdr:spPr>
          <xdr:style>
            <a:lnRef idx="1">
              <a:schemeClr val="accent1"/>
            </a:lnRef>
            <a:fillRef idx="0">
              <a:schemeClr val="accent1"/>
            </a:fillRef>
            <a:effectRef idx="0">
              <a:schemeClr val="accent1"/>
            </a:effectRef>
            <a:fontRef idx="minor">
              <a:schemeClr val="tx1"/>
            </a:fontRef>
          </xdr:style>
        </xdr:cxnSp>
        <xdr:cxnSp macro="">
          <xdr:nvCxnSpPr>
            <xdr:cNvPr id="30" name="Straight Arrow Connector 29"/>
            <xdr:cNvCxnSpPr/>
          </xdr:nvCxnSpPr>
          <xdr:spPr>
            <a:xfrm flipV="1">
              <a:off x="7788330" y="1797434"/>
              <a:ext cx="1479776" cy="1261827"/>
            </a:xfrm>
            <a:prstGeom prst="straightConnector1">
              <a:avLst/>
            </a:prstGeom>
            <a:ln>
              <a:prstDash val="sysDash"/>
              <a:headEnd type="triangl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Straight Arrow Connector 30"/>
            <xdr:cNvCxnSpPr/>
          </xdr:nvCxnSpPr>
          <xdr:spPr>
            <a:xfrm>
              <a:off x="8131910" y="1641186"/>
              <a:ext cx="1796143" cy="3402"/>
            </a:xfrm>
            <a:prstGeom prst="straightConnector1">
              <a:avLst/>
            </a:prstGeom>
            <a:ln>
              <a:prstDash val="sysDash"/>
              <a:headEnd type="triangl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 name="Straight Arrow Connector 31"/>
            <xdr:cNvCxnSpPr/>
          </xdr:nvCxnSpPr>
          <xdr:spPr>
            <a:xfrm>
              <a:off x="6951490" y="3409645"/>
              <a:ext cx="30616" cy="1977727"/>
            </a:xfrm>
            <a:prstGeom prst="straightConnector1">
              <a:avLst/>
            </a:prstGeom>
            <a:ln>
              <a:prstDash val="sysDash"/>
              <a:headEnd type="triangl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3" name="Straight Arrow Connector 32"/>
            <xdr:cNvCxnSpPr/>
          </xdr:nvCxnSpPr>
          <xdr:spPr>
            <a:xfrm>
              <a:off x="7107972" y="2583011"/>
              <a:ext cx="309563"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4" name="Straight Connector 33"/>
            <xdr:cNvCxnSpPr/>
          </xdr:nvCxnSpPr>
          <xdr:spPr>
            <a:xfrm>
              <a:off x="7220231" y="5387372"/>
              <a:ext cx="0" cy="105456"/>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5" name="Straight Connector 34"/>
            <xdr:cNvCxnSpPr/>
          </xdr:nvCxnSpPr>
          <xdr:spPr>
            <a:xfrm>
              <a:off x="7308678" y="5383971"/>
              <a:ext cx="3402" cy="112259"/>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6" name="Straight Connector 35"/>
            <xdr:cNvCxnSpPr/>
          </xdr:nvCxnSpPr>
          <xdr:spPr>
            <a:xfrm>
              <a:off x="7388440" y="5389895"/>
              <a:ext cx="3402" cy="112259"/>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37" name="Straight Connector 36"/>
            <xdr:cNvCxnSpPr/>
          </xdr:nvCxnSpPr>
          <xdr:spPr>
            <a:xfrm>
              <a:off x="7470603" y="5381410"/>
              <a:ext cx="3402" cy="112259"/>
            </a:xfrm>
            <a:prstGeom prst="line">
              <a:avLst/>
            </a:prstGeom>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xdr:from>
      <xdr:col>2</xdr:col>
      <xdr:colOff>0</xdr:colOff>
      <xdr:row>24</xdr:row>
      <xdr:rowOff>133350</xdr:rowOff>
    </xdr:from>
    <xdr:to>
      <xdr:col>2</xdr:col>
      <xdr:colOff>9525</xdr:colOff>
      <xdr:row>41</xdr:row>
      <xdr:rowOff>57150</xdr:rowOff>
    </xdr:to>
    <xdr:cxnSp macro="">
      <xdr:nvCxnSpPr>
        <xdr:cNvPr id="39" name="Straight Arrow Connector 38"/>
        <xdr:cNvCxnSpPr/>
      </xdr:nvCxnSpPr>
      <xdr:spPr>
        <a:xfrm flipV="1">
          <a:off x="1962150" y="3476625"/>
          <a:ext cx="9525" cy="3181350"/>
        </a:xfrm>
        <a:prstGeom prst="straightConnector1">
          <a:avLst/>
        </a:prstGeom>
        <a:ln>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381000</xdr:colOff>
      <xdr:row>24</xdr:row>
      <xdr:rowOff>114300</xdr:rowOff>
    </xdr:from>
    <xdr:to>
      <xdr:col>2</xdr:col>
      <xdr:colOff>266700</xdr:colOff>
      <xdr:row>24</xdr:row>
      <xdr:rowOff>114300</xdr:rowOff>
    </xdr:to>
    <xdr:cxnSp macro="">
      <xdr:nvCxnSpPr>
        <xdr:cNvPr id="43" name="Straight Connector 42"/>
        <xdr:cNvCxnSpPr/>
      </xdr:nvCxnSpPr>
      <xdr:spPr>
        <a:xfrm>
          <a:off x="1657350" y="3457575"/>
          <a:ext cx="57150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13939</xdr:colOff>
      <xdr:row>30</xdr:row>
      <xdr:rowOff>13939</xdr:rowOff>
    </xdr:from>
    <xdr:to>
      <xdr:col>4</xdr:col>
      <xdr:colOff>506451</xdr:colOff>
      <xdr:row>30</xdr:row>
      <xdr:rowOff>23231</xdr:rowOff>
    </xdr:to>
    <xdr:cxnSp macro="">
      <xdr:nvCxnSpPr>
        <xdr:cNvPr id="40" name="Straight Connector 39"/>
        <xdr:cNvCxnSpPr/>
      </xdr:nvCxnSpPr>
      <xdr:spPr>
        <a:xfrm flipV="1">
          <a:off x="3424354" y="5970549"/>
          <a:ext cx="492512" cy="9292"/>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36241</xdr:colOff>
      <xdr:row>41</xdr:row>
      <xdr:rowOff>26949</xdr:rowOff>
    </xdr:from>
    <xdr:to>
      <xdr:col>4</xdr:col>
      <xdr:colOff>528753</xdr:colOff>
      <xdr:row>41</xdr:row>
      <xdr:rowOff>36241</xdr:rowOff>
    </xdr:to>
    <xdr:cxnSp macro="">
      <xdr:nvCxnSpPr>
        <xdr:cNvPr id="44" name="Straight Connector 43"/>
        <xdr:cNvCxnSpPr/>
      </xdr:nvCxnSpPr>
      <xdr:spPr>
        <a:xfrm flipV="1">
          <a:off x="3446656" y="8106937"/>
          <a:ext cx="492512" cy="9292"/>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engineeringtoolbox.com/ideal-gas-law-d_157.html" TargetMode="External"/><Relationship Id="rId1" Type="http://schemas.openxmlformats.org/officeDocument/2006/relationships/hyperlink" Target="http://www.engineeringtoolbox.com/heat-work-energy-d_292.htm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topLeftCell="A4" workbookViewId="0">
      <selection activeCell="F10" sqref="F10"/>
    </sheetView>
  </sheetViews>
  <sheetFormatPr defaultRowHeight="15" x14ac:dyDescent="0.2"/>
  <sheetData>
    <row r="1" spans="1:9" ht="15.75" x14ac:dyDescent="0.25">
      <c r="A1" s="110" t="s">
        <v>432</v>
      </c>
      <c r="B1" s="110"/>
      <c r="C1" s="110"/>
      <c r="D1" s="110"/>
      <c r="E1" s="110"/>
      <c r="F1" s="110"/>
      <c r="G1" s="110"/>
      <c r="H1" s="110"/>
      <c r="I1" s="110"/>
    </row>
    <row r="2" spans="1:9" ht="100.5" customHeight="1" x14ac:dyDescent="0.2">
      <c r="A2" s="108" t="s">
        <v>454</v>
      </c>
      <c r="B2" s="108"/>
      <c r="C2" s="108"/>
      <c r="D2" s="108"/>
      <c r="E2" s="108"/>
      <c r="F2" s="108"/>
      <c r="G2" s="108"/>
      <c r="H2" s="108"/>
      <c r="I2" s="108"/>
    </row>
    <row r="3" spans="1:9" ht="15.75" x14ac:dyDescent="0.25">
      <c r="A3" s="110" t="s">
        <v>433</v>
      </c>
      <c r="B3" s="110"/>
      <c r="C3" s="110"/>
      <c r="D3" s="110"/>
      <c r="E3" s="110"/>
      <c r="F3" s="110"/>
      <c r="G3" s="110"/>
      <c r="H3" s="110"/>
      <c r="I3" s="110"/>
    </row>
    <row r="4" spans="1:9" ht="205.5" customHeight="1" x14ac:dyDescent="0.2">
      <c r="A4" s="109" t="s">
        <v>444</v>
      </c>
      <c r="B4" s="109"/>
      <c r="C4" s="109"/>
      <c r="D4" s="109"/>
      <c r="E4" s="109"/>
      <c r="F4" s="109"/>
      <c r="G4" s="109"/>
      <c r="H4" s="109"/>
      <c r="I4" s="109"/>
    </row>
    <row r="5" spans="1:9" ht="15.75" x14ac:dyDescent="0.25">
      <c r="A5" s="110" t="s">
        <v>434</v>
      </c>
      <c r="B5" s="110"/>
      <c r="C5" s="110"/>
      <c r="D5" s="110"/>
      <c r="E5" s="110"/>
      <c r="F5" s="110"/>
      <c r="G5" s="110"/>
      <c r="H5" s="110"/>
      <c r="I5" s="110"/>
    </row>
    <row r="6" spans="1:9" ht="280.5" customHeight="1" x14ac:dyDescent="0.2">
      <c r="A6" s="109" t="s">
        <v>455</v>
      </c>
      <c r="B6" s="109"/>
      <c r="C6" s="109"/>
      <c r="D6" s="109"/>
      <c r="E6" s="109"/>
      <c r="F6" s="109"/>
      <c r="G6" s="109"/>
      <c r="H6" s="109"/>
      <c r="I6" s="109"/>
    </row>
  </sheetData>
  <mergeCells count="6">
    <mergeCell ref="A2:I2"/>
    <mergeCell ref="A4:I4"/>
    <mergeCell ref="A6:I6"/>
    <mergeCell ref="A1:I1"/>
    <mergeCell ref="A3:I3"/>
    <mergeCell ref="A5:I5"/>
  </mergeCells>
  <pageMargins left="0.2" right="0.2" top="0.17" bottom="0.17" header="0.17" footer="0.19"/>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3"/>
  <sheetViews>
    <sheetView workbookViewId="0">
      <selection activeCell="B24" sqref="B24"/>
    </sheetView>
  </sheetViews>
  <sheetFormatPr defaultColWidth="9.88671875" defaultRowHeight="15" x14ac:dyDescent="0.2"/>
  <cols>
    <col min="1" max="1" width="12.109375" style="80" customWidth="1"/>
    <col min="2" max="2" width="13" style="80" customWidth="1"/>
    <col min="3" max="3" width="9.88671875" style="80" customWidth="1"/>
    <col min="4" max="4" width="20.109375" style="80" bestFit="1" customWidth="1"/>
    <col min="5" max="5" width="2" style="80" bestFit="1" customWidth="1"/>
    <col min="6" max="6" width="14.21875" style="80" bestFit="1" customWidth="1"/>
    <col min="7" max="7" width="2" style="80" bestFit="1" customWidth="1"/>
    <col min="8" max="8" width="11.21875" style="80" bestFit="1" customWidth="1"/>
    <col min="9" max="9" width="2" style="80" bestFit="1" customWidth="1"/>
    <col min="10" max="10" width="9.88671875" style="80" customWidth="1"/>
    <col min="11" max="11" width="2" style="80" bestFit="1" customWidth="1"/>
    <col min="12" max="16384" width="9.88671875" style="80"/>
  </cols>
  <sheetData>
    <row r="2" spans="1:12" ht="30" customHeight="1" x14ac:dyDescent="0.25">
      <c r="A2" s="111" t="s">
        <v>429</v>
      </c>
      <c r="B2" s="111"/>
      <c r="C2" s="111"/>
      <c r="D2" s="111"/>
      <c r="E2" s="111"/>
      <c r="F2" s="111"/>
      <c r="G2" s="111"/>
      <c r="H2" s="111"/>
      <c r="I2" s="111"/>
      <c r="J2" s="111"/>
      <c r="K2" s="111"/>
      <c r="L2" s="111"/>
    </row>
    <row r="3" spans="1:12" ht="15.75" thickBot="1" x14ac:dyDescent="0.25"/>
    <row r="4" spans="1:12" ht="16.5" thickBot="1" x14ac:dyDescent="0.3">
      <c r="A4" s="116" t="s">
        <v>240</v>
      </c>
      <c r="B4" s="117"/>
      <c r="C4" s="118"/>
    </row>
    <row r="5" spans="1:12" ht="15.75" x14ac:dyDescent="0.25">
      <c r="A5" s="93" t="s">
        <v>428</v>
      </c>
      <c r="B5" s="95">
        <v>20</v>
      </c>
      <c r="C5" s="94" t="s">
        <v>2</v>
      </c>
    </row>
    <row r="6" spans="1:12" ht="15.75" x14ac:dyDescent="0.25">
      <c r="A6" s="89" t="s">
        <v>427</v>
      </c>
      <c r="B6" s="96">
        <v>1273</v>
      </c>
      <c r="C6" s="90" t="s">
        <v>0</v>
      </c>
    </row>
    <row r="7" spans="1:12" ht="15.75" x14ac:dyDescent="0.25">
      <c r="A7" s="89" t="s">
        <v>437</v>
      </c>
      <c r="B7" s="98">
        <f>B16</f>
        <v>0.78418512890770886</v>
      </c>
      <c r="C7" s="90" t="s">
        <v>438</v>
      </c>
    </row>
    <row r="8" spans="1:12" ht="16.5" thickBot="1" x14ac:dyDescent="0.3">
      <c r="A8" s="91" t="s">
        <v>439</v>
      </c>
      <c r="B8" s="97">
        <f>B23</f>
        <v>13.951935007968345</v>
      </c>
      <c r="C8" s="92" t="s">
        <v>438</v>
      </c>
    </row>
    <row r="9" spans="1:12" ht="15.75" x14ac:dyDescent="0.25">
      <c r="A9" s="82"/>
    </row>
    <row r="10" spans="1:12" ht="15.75" x14ac:dyDescent="0.25">
      <c r="B10" s="82" t="s">
        <v>441</v>
      </c>
    </row>
    <row r="11" spans="1:12" ht="18.75" x14ac:dyDescent="0.35">
      <c r="B11" s="83" t="s">
        <v>426</v>
      </c>
      <c r="C11" s="80" t="str">
        <f>"9.88 E-4 (QH)^0.5"</f>
        <v>9.88 E-4 (QH)^0.5</v>
      </c>
    </row>
    <row r="12" spans="1:12" ht="15.75" x14ac:dyDescent="0.25">
      <c r="A12" s="82"/>
      <c r="B12" s="83"/>
    </row>
    <row r="13" spans="1:12" ht="15.75" x14ac:dyDescent="0.25">
      <c r="A13" s="88" t="s">
        <v>440</v>
      </c>
      <c r="B13" s="86">
        <v>20</v>
      </c>
      <c r="C13" s="80" t="s">
        <v>425</v>
      </c>
    </row>
    <row r="14" spans="1:12" ht="15.75" thickBot="1" x14ac:dyDescent="0.25">
      <c r="B14" s="115">
        <f>B13*1000000*251.99/60/60</f>
        <v>1399944.4444444445</v>
      </c>
      <c r="C14" s="115" t="s">
        <v>424</v>
      </c>
      <c r="D14" s="85" t="str">
        <f>B13&amp;" MMBTU"</f>
        <v>20 MMBTU</v>
      </c>
      <c r="E14" s="112" t="s">
        <v>420</v>
      </c>
      <c r="F14" s="85" t="s">
        <v>423</v>
      </c>
      <c r="G14" s="112" t="s">
        <v>420</v>
      </c>
      <c r="H14" s="85" t="s">
        <v>422</v>
      </c>
      <c r="I14" s="112" t="s">
        <v>420</v>
      </c>
      <c r="J14" s="85" t="s">
        <v>421</v>
      </c>
      <c r="K14" s="112" t="s">
        <v>420</v>
      </c>
      <c r="L14" s="85" t="s">
        <v>419</v>
      </c>
    </row>
    <row r="15" spans="1:12" x14ac:dyDescent="0.2">
      <c r="B15" s="115"/>
      <c r="C15" s="115"/>
      <c r="D15" s="84" t="s">
        <v>418</v>
      </c>
      <c r="E15" s="112"/>
      <c r="F15" s="84" t="s">
        <v>417</v>
      </c>
      <c r="G15" s="114"/>
      <c r="H15" s="84" t="s">
        <v>416</v>
      </c>
      <c r="I15" s="113"/>
      <c r="J15" s="84" t="s">
        <v>415</v>
      </c>
      <c r="K15" s="114"/>
      <c r="L15" s="84" t="s">
        <v>414</v>
      </c>
    </row>
    <row r="16" spans="1:12" ht="18.75" x14ac:dyDescent="0.35">
      <c r="B16" s="87">
        <f>(B14*0.45)^0.5*0.000988</f>
        <v>0.78418512890770886</v>
      </c>
      <c r="C16" s="82" t="s">
        <v>413</v>
      </c>
      <c r="D16" s="80">
        <f>B14*0.004186*24</f>
        <v>140644.01866666667</v>
      </c>
      <c r="F16" s="80">
        <f>B14*60/1000</f>
        <v>83996.666666666672</v>
      </c>
    </row>
    <row r="18" spans="1:3" ht="15.75" x14ac:dyDescent="0.25">
      <c r="B18" s="82" t="s">
        <v>442</v>
      </c>
    </row>
    <row r="19" spans="1:3" ht="18.75" x14ac:dyDescent="0.35">
      <c r="B19" s="83" t="s">
        <v>412</v>
      </c>
      <c r="C19" s="80" t="str">
        <f>"Hs + (4.56 E - 03) * (((J/sec) / 4.1868)^0.478)"</f>
        <v>Hs + (4.56 E - 03) * (((J/sec) / 4.1868)^0.478)</v>
      </c>
    </row>
    <row r="21" spans="1:3" ht="15.75" x14ac:dyDescent="0.25">
      <c r="A21" s="88" t="s">
        <v>440</v>
      </c>
      <c r="B21" s="86">
        <v>10</v>
      </c>
      <c r="C21" s="80" t="s">
        <v>411</v>
      </c>
    </row>
    <row r="22" spans="1:3" x14ac:dyDescent="0.2">
      <c r="B22" s="80">
        <f>(B13*1000000*0.29307)</f>
        <v>5861400</v>
      </c>
      <c r="C22" s="80" t="s">
        <v>410</v>
      </c>
    </row>
    <row r="23" spans="1:3" ht="18.75" x14ac:dyDescent="0.35">
      <c r="B23" s="87">
        <f>B21+(0.00456)*((B22/4.1868)^0.478)</f>
        <v>13.951935007968345</v>
      </c>
      <c r="C23" s="81" t="s">
        <v>409</v>
      </c>
    </row>
  </sheetData>
  <mergeCells count="8">
    <mergeCell ref="A2:L2"/>
    <mergeCell ref="I14:I15"/>
    <mergeCell ref="K14:K15"/>
    <mergeCell ref="B14:B15"/>
    <mergeCell ref="C14:C15"/>
    <mergeCell ref="E14:E15"/>
    <mergeCell ref="G14:G15"/>
    <mergeCell ref="A4:C4"/>
  </mergeCells>
  <pageMargins left="0.3" right="0.3" top="1" bottom="1" header="0.5"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8"/>
  <sheetViews>
    <sheetView tabSelected="1" zoomScaleNormal="100" workbookViewId="0">
      <selection activeCell="G4" sqref="G4"/>
    </sheetView>
  </sheetViews>
  <sheetFormatPr defaultRowHeight="15" x14ac:dyDescent="0.2"/>
  <cols>
    <col min="1" max="1" width="14" bestFit="1" customWidth="1"/>
    <col min="2" max="2" width="8" customWidth="1"/>
    <col min="6" max="7" width="8.88671875" customWidth="1"/>
    <col min="9" max="9" width="8.77734375" customWidth="1"/>
  </cols>
  <sheetData>
    <row r="1" spans="1:9" ht="15.75" thickTop="1" x14ac:dyDescent="0.2">
      <c r="A1" s="73"/>
      <c r="B1" s="51"/>
      <c r="C1" s="51"/>
      <c r="D1" s="51"/>
      <c r="E1" s="51"/>
      <c r="F1" s="51"/>
      <c r="G1" s="51"/>
      <c r="H1" s="51"/>
      <c r="I1" s="74"/>
    </row>
    <row r="2" spans="1:9" ht="20.25" x14ac:dyDescent="0.2">
      <c r="A2" s="129" t="s">
        <v>401</v>
      </c>
      <c r="B2" s="130"/>
      <c r="C2" s="130"/>
      <c r="D2" s="130"/>
      <c r="E2" s="130"/>
      <c r="F2" s="130"/>
      <c r="G2" s="130"/>
      <c r="H2" s="130"/>
      <c r="I2" s="131"/>
    </row>
    <row r="3" spans="1:9" x14ac:dyDescent="0.2">
      <c r="A3" s="54"/>
      <c r="B3" s="53"/>
      <c r="C3" s="53"/>
      <c r="D3" s="53"/>
      <c r="E3" s="53"/>
      <c r="F3" s="53"/>
      <c r="G3" s="53"/>
      <c r="H3" s="53"/>
      <c r="I3" s="55"/>
    </row>
    <row r="4" spans="1:9" ht="15.75" x14ac:dyDescent="0.25">
      <c r="A4" s="75" t="s">
        <v>403</v>
      </c>
      <c r="B4" s="132" t="s">
        <v>457</v>
      </c>
      <c r="C4" s="132"/>
      <c r="D4" s="132"/>
      <c r="E4" s="53"/>
      <c r="F4" s="104" t="s">
        <v>451</v>
      </c>
      <c r="G4" s="103" t="s">
        <v>445</v>
      </c>
      <c r="H4" s="53"/>
      <c r="I4" s="55"/>
    </row>
    <row r="5" spans="1:9" ht="15.75" x14ac:dyDescent="0.25">
      <c r="A5" s="75" t="s">
        <v>404</v>
      </c>
      <c r="B5" s="132" t="s">
        <v>458</v>
      </c>
      <c r="C5" s="132"/>
      <c r="D5" s="132"/>
      <c r="E5" s="53"/>
      <c r="F5" s="53"/>
      <c r="G5" s="53"/>
      <c r="H5" s="53"/>
      <c r="I5" s="55"/>
    </row>
    <row r="6" spans="1:9" ht="15.75" x14ac:dyDescent="0.25">
      <c r="A6" s="75" t="s">
        <v>402</v>
      </c>
      <c r="B6" s="132" t="s">
        <v>459</v>
      </c>
      <c r="C6" s="132"/>
      <c r="D6" s="132"/>
      <c r="E6" s="53"/>
      <c r="F6" s="53"/>
      <c r="G6" s="53"/>
      <c r="H6" s="53"/>
      <c r="I6" s="55"/>
    </row>
    <row r="7" spans="1:9" x14ac:dyDescent="0.2">
      <c r="A7" s="75"/>
      <c r="B7" s="76"/>
      <c r="C7" s="76"/>
      <c r="D7" s="76"/>
      <c r="E7" s="53"/>
      <c r="F7" s="53"/>
      <c r="G7" s="53"/>
      <c r="H7" s="53"/>
      <c r="I7" s="55"/>
    </row>
    <row r="8" spans="1:9" ht="15.75" x14ac:dyDescent="0.25">
      <c r="A8" s="121" t="s">
        <v>238</v>
      </c>
      <c r="B8" s="122"/>
      <c r="C8" s="122"/>
      <c r="D8" s="53"/>
      <c r="E8" s="122" t="s">
        <v>262</v>
      </c>
      <c r="F8" s="122"/>
      <c r="G8" s="122"/>
      <c r="H8" s="122"/>
      <c r="I8" s="133"/>
    </row>
    <row r="9" spans="1:9" ht="15.75" x14ac:dyDescent="0.25">
      <c r="A9" s="52" t="s">
        <v>192</v>
      </c>
      <c r="B9" s="30">
        <v>64000</v>
      </c>
      <c r="C9" s="8" t="s">
        <v>193</v>
      </c>
      <c r="D9" s="53"/>
      <c r="E9" s="105">
        <f>HLOOKUP($G$4,'Default Fuel Tables'!$A$2:$E$12,2,FALSE)</f>
        <v>1.58</v>
      </c>
      <c r="F9" s="119" t="s">
        <v>266</v>
      </c>
      <c r="G9" s="119"/>
      <c r="H9" s="119"/>
      <c r="I9" s="120"/>
    </row>
    <row r="10" spans="1:9" ht="15.75" x14ac:dyDescent="0.25">
      <c r="A10" s="52" t="s">
        <v>194</v>
      </c>
      <c r="B10" s="30">
        <v>0.254</v>
      </c>
      <c r="C10" s="8" t="s">
        <v>195</v>
      </c>
      <c r="D10" s="53"/>
      <c r="E10" s="105">
        <f>HLOOKUP($G$4,'Default Fuel Tables'!$A$2:$E$12,3,FALSE)</f>
        <v>0.25</v>
      </c>
      <c r="F10" s="119" t="s">
        <v>267</v>
      </c>
      <c r="G10" s="119"/>
      <c r="H10" s="119"/>
      <c r="I10" s="120"/>
    </row>
    <row r="11" spans="1:9" ht="15.75" x14ac:dyDescent="0.25">
      <c r="A11" s="52" t="s">
        <v>5</v>
      </c>
      <c r="B11" s="30">
        <v>4.8769999999999998</v>
      </c>
      <c r="C11" s="8" t="s">
        <v>4</v>
      </c>
      <c r="D11" s="53"/>
      <c r="E11" s="105">
        <f>HLOOKUP($G$4,'Default Fuel Tables'!$A$2:$E$12,4,FALSE)</f>
        <v>55.53</v>
      </c>
      <c r="F11" s="119" t="s">
        <v>268</v>
      </c>
      <c r="G11" s="119"/>
      <c r="H11" s="119"/>
      <c r="I11" s="120"/>
    </row>
    <row r="12" spans="1:9" ht="15.75" x14ac:dyDescent="0.25">
      <c r="A12" s="52" t="s">
        <v>242</v>
      </c>
      <c r="B12" s="30">
        <v>1832</v>
      </c>
      <c r="C12" s="8" t="s">
        <v>243</v>
      </c>
      <c r="D12" s="53"/>
      <c r="E12" s="105">
        <f>HLOOKUP($G$4,'Default Fuel Tables'!$A$2:$E$12,5,FALSE)</f>
        <v>5.6000000000000001E-2</v>
      </c>
      <c r="F12" s="119" t="s">
        <v>269</v>
      </c>
      <c r="G12" s="119"/>
      <c r="H12" s="119"/>
      <c r="I12" s="120"/>
    </row>
    <row r="13" spans="1:9" ht="15.75" x14ac:dyDescent="0.25">
      <c r="A13" s="54"/>
      <c r="B13" s="53"/>
      <c r="C13" s="53"/>
      <c r="D13" s="53"/>
      <c r="E13" s="105">
        <f>HLOOKUP($G$4,'Default Fuel Tables'!$A$2:$E$12,6,FALSE)</f>
        <v>19.5</v>
      </c>
      <c r="F13" s="119" t="s">
        <v>270</v>
      </c>
      <c r="G13" s="119"/>
      <c r="H13" s="119"/>
      <c r="I13" s="120"/>
    </row>
    <row r="14" spans="1:9" ht="15.75" x14ac:dyDescent="0.25">
      <c r="A14" s="121" t="s">
        <v>240</v>
      </c>
      <c r="B14" s="122"/>
      <c r="C14" s="122"/>
      <c r="D14" s="53"/>
      <c r="E14" s="105">
        <f>HLOOKUP($G$4,'Default Fuel Tables'!$A$2:$E$12,7,FALSE)</f>
        <v>293.14999999999998</v>
      </c>
      <c r="F14" s="119" t="s">
        <v>239</v>
      </c>
      <c r="G14" s="119"/>
      <c r="H14" s="119"/>
      <c r="I14" s="120"/>
    </row>
    <row r="15" spans="1:9" ht="17.25" x14ac:dyDescent="0.25">
      <c r="A15" s="52" t="s">
        <v>241</v>
      </c>
      <c r="B15" s="31">
        <f>'Refined Flare Parameters'!B11+ IF('Flare Calcs'!C105&gt;'Flare Calcs'!D105,'Flare Calcs'!D127,'Flare Calcs'!C127)</f>
        <v>5.9069642301769107</v>
      </c>
      <c r="C15" s="8" t="s">
        <v>4</v>
      </c>
      <c r="D15" s="53"/>
      <c r="E15" s="105">
        <f>HLOOKUP($G$4,'Default Fuel Tables'!$A$2:$E$12,8,FALSE)</f>
        <v>8.9</v>
      </c>
      <c r="F15" s="119" t="s">
        <v>406</v>
      </c>
      <c r="G15" s="119"/>
      <c r="H15" s="119"/>
      <c r="I15" s="120"/>
    </row>
    <row r="16" spans="1:9" ht="15.75" x14ac:dyDescent="0.25">
      <c r="A16" s="52" t="s">
        <v>430</v>
      </c>
      <c r="B16" s="31">
        <f>IF('Flare Calcs'!C105&gt;'Flare Calcs'!D105,'Flare Calcs'!D105,'Flare Calcs'!C105)</f>
        <v>7.773195432308901</v>
      </c>
      <c r="C16" s="8" t="s">
        <v>2</v>
      </c>
      <c r="D16" s="53"/>
      <c r="E16" s="105">
        <f>HLOOKUP($G$4,'Default Fuel Tables'!$A$2:$E$12,9,FALSE)</f>
        <v>0.2</v>
      </c>
      <c r="F16" s="119" t="s">
        <v>236</v>
      </c>
      <c r="G16" s="119"/>
      <c r="H16" s="119"/>
      <c r="I16" s="120"/>
    </row>
    <row r="17" spans="1:9" ht="15.75" x14ac:dyDescent="0.25">
      <c r="A17" s="52" t="s">
        <v>431</v>
      </c>
      <c r="B17" s="31">
        <f>(('Flare Calcs'!C29*239.005736)*0.45)^0.5*0.000988</f>
        <v>1.6225452618826004</v>
      </c>
      <c r="C17" s="8" t="s">
        <v>4</v>
      </c>
      <c r="D17" s="53"/>
      <c r="E17" s="105">
        <f>HLOOKUP($G$4,'Default Fuel Tables'!$A$2:$E$12,10,FALSE)</f>
        <v>101.325</v>
      </c>
      <c r="F17" s="119" t="s">
        <v>237</v>
      </c>
      <c r="G17" s="119"/>
      <c r="H17" s="119"/>
      <c r="I17" s="120"/>
    </row>
    <row r="18" spans="1:9" ht="15.75" x14ac:dyDescent="0.25">
      <c r="A18" s="52" t="s">
        <v>242</v>
      </c>
      <c r="B18" s="32">
        <f>255.372222+(B12*0.555555556)</f>
        <v>1273.150000592</v>
      </c>
      <c r="C18" s="8" t="s">
        <v>0</v>
      </c>
      <c r="D18" s="53"/>
      <c r="E18" s="105">
        <f>HLOOKUP($G$4,'Default Fuel Tables'!$A$2:$E$12,11,FALSE)</f>
        <v>1.27</v>
      </c>
      <c r="F18" s="119" t="s">
        <v>399</v>
      </c>
      <c r="G18" s="119"/>
      <c r="H18" s="119"/>
      <c r="I18" s="120"/>
    </row>
    <row r="19" spans="1:9" ht="15.75" x14ac:dyDescent="0.25">
      <c r="A19" s="126" t="s">
        <v>452</v>
      </c>
      <c r="B19" s="127"/>
      <c r="C19" s="128"/>
      <c r="D19" s="53"/>
      <c r="E19" s="72"/>
      <c r="F19" s="71"/>
      <c r="G19" s="71"/>
      <c r="H19" s="71"/>
      <c r="I19" s="77"/>
    </row>
    <row r="20" spans="1:9" ht="15.75" x14ac:dyDescent="0.25">
      <c r="A20" s="52" t="s">
        <v>456</v>
      </c>
      <c r="B20" s="106">
        <v>0.5</v>
      </c>
      <c r="C20" s="107" t="s">
        <v>4</v>
      </c>
      <c r="D20" s="53"/>
      <c r="E20" s="56" t="s">
        <v>256</v>
      </c>
      <c r="F20" s="57">
        <f>IF('Flare Calcs'!C105&gt;'Flare Calcs'!D105,'Flare Calcs'!D138,'Flare Calcs'!C138)</f>
        <v>10.847843996299229</v>
      </c>
      <c r="G20" s="53"/>
      <c r="H20" s="53"/>
      <c r="I20" s="55"/>
    </row>
    <row r="21" spans="1:9" x14ac:dyDescent="0.2">
      <c r="A21" s="52" t="s">
        <v>453</v>
      </c>
      <c r="B21" s="31">
        <f>B15-B20</f>
        <v>5.4069642301769107</v>
      </c>
      <c r="C21" s="107" t="s">
        <v>4</v>
      </c>
      <c r="D21" s="53"/>
      <c r="E21" s="53"/>
      <c r="F21" s="53"/>
      <c r="G21" s="53"/>
      <c r="H21" s="53"/>
      <c r="I21" s="55"/>
    </row>
    <row r="22" spans="1:9" x14ac:dyDescent="0.2">
      <c r="A22" s="54"/>
      <c r="B22" s="53"/>
      <c r="C22" s="53"/>
      <c r="D22" s="53"/>
      <c r="E22" s="53"/>
      <c r="F22" s="53"/>
      <c r="G22" s="53"/>
      <c r="H22" s="53"/>
      <c r="I22" s="55"/>
    </row>
    <row r="23" spans="1:9" x14ac:dyDescent="0.2">
      <c r="A23" s="54"/>
      <c r="B23" s="53"/>
      <c r="C23" s="53"/>
      <c r="D23" s="53"/>
      <c r="E23" s="53"/>
      <c r="F23" s="58" t="s">
        <v>255</v>
      </c>
      <c r="G23" s="53"/>
      <c r="H23" s="53"/>
      <c r="I23" s="55"/>
    </row>
    <row r="24" spans="1:9" x14ac:dyDescent="0.2">
      <c r="A24" s="54"/>
      <c r="B24" s="53"/>
      <c r="C24" s="53"/>
      <c r="D24" s="53"/>
      <c r="E24" s="53"/>
      <c r="F24" s="57">
        <f>'Flare Calcs'!C80</f>
        <v>11.158175948648173</v>
      </c>
      <c r="G24" s="53"/>
      <c r="H24" s="53"/>
      <c r="I24" s="55"/>
    </row>
    <row r="25" spans="1:9" x14ac:dyDescent="0.2">
      <c r="A25" s="54"/>
      <c r="B25" s="53"/>
      <c r="C25" s="59" t="s">
        <v>254</v>
      </c>
      <c r="D25" s="60">
        <f>E15</f>
        <v>8.9</v>
      </c>
      <c r="E25" s="53"/>
      <c r="F25" s="53"/>
      <c r="G25" s="53"/>
      <c r="H25" s="53"/>
      <c r="I25" s="55"/>
    </row>
    <row r="26" spans="1:9" x14ac:dyDescent="0.2">
      <c r="A26" s="54"/>
      <c r="B26" s="53"/>
      <c r="C26" s="53"/>
      <c r="D26" s="53"/>
      <c r="E26" s="53"/>
      <c r="F26" s="53"/>
      <c r="G26" s="53"/>
      <c r="H26" s="61" t="s">
        <v>257</v>
      </c>
      <c r="I26" s="55"/>
    </row>
    <row r="27" spans="1:9" x14ac:dyDescent="0.2">
      <c r="A27" s="54"/>
      <c r="B27" s="53"/>
      <c r="C27" s="53"/>
      <c r="D27" s="53"/>
      <c r="E27" s="53"/>
      <c r="F27" s="62"/>
      <c r="G27" s="53"/>
      <c r="H27" s="63">
        <f>IF('Flare Calcs'!C105&gt;'Flare Calcs'!D105,'Flare Calcs'!D127,'Flare Calcs'!C127)</f>
        <v>1.0299642301769112</v>
      </c>
      <c r="I27" s="55"/>
    </row>
    <row r="28" spans="1:9" ht="15.75" x14ac:dyDescent="0.25">
      <c r="A28" s="54"/>
      <c r="B28" s="53"/>
      <c r="C28" s="53"/>
      <c r="D28" s="62"/>
      <c r="E28" s="53"/>
      <c r="F28" s="64"/>
      <c r="G28" s="61" t="s">
        <v>258</v>
      </c>
      <c r="H28" s="53"/>
      <c r="I28" s="55"/>
    </row>
    <row r="29" spans="1:9" x14ac:dyDescent="0.2">
      <c r="A29" s="54"/>
      <c r="B29" s="53"/>
      <c r="C29" s="53"/>
      <c r="D29" s="62"/>
      <c r="E29" s="53"/>
      <c r="F29" s="53"/>
      <c r="G29" s="63">
        <f>IF('Flare Calcs'!C105&gt;'Flare Calcs'!D105,'Flare Calcs'!D150,'Flare Calcs'!C150)</f>
        <v>0.51498211508845559</v>
      </c>
      <c r="H29" s="53"/>
      <c r="I29" s="55"/>
    </row>
    <row r="30" spans="1:9" x14ac:dyDescent="0.2">
      <c r="A30" s="54"/>
      <c r="B30" s="53"/>
      <c r="C30" s="53"/>
      <c r="D30" s="53"/>
      <c r="E30" s="62"/>
      <c r="F30" s="53"/>
      <c r="G30" s="53"/>
      <c r="H30" s="53"/>
      <c r="I30" s="55"/>
    </row>
    <row r="31" spans="1:9" ht="16.5" x14ac:dyDescent="0.3">
      <c r="A31" s="54"/>
      <c r="B31" s="50" t="s">
        <v>263</v>
      </c>
      <c r="C31" s="53"/>
      <c r="D31" s="53"/>
      <c r="E31" s="62"/>
      <c r="F31" s="53"/>
      <c r="G31" s="53"/>
      <c r="H31" s="53"/>
      <c r="I31" s="55"/>
    </row>
    <row r="32" spans="1:9" ht="15.75" x14ac:dyDescent="0.25">
      <c r="A32" s="54"/>
      <c r="B32" s="65">
        <f>B15</f>
        <v>5.9069642301769107</v>
      </c>
      <c r="C32" s="53"/>
      <c r="D32" s="53"/>
      <c r="E32" s="66">
        <f>IF('Flare Calcs'!C105&gt;'Flare Calcs'!D105,'Flare Calcs'!D154,'Flare Calcs'!C154)</f>
        <v>5.4239219981496145</v>
      </c>
      <c r="F32" s="61" t="s">
        <v>260</v>
      </c>
      <c r="G32" s="53"/>
      <c r="H32" s="53"/>
      <c r="I32" s="55"/>
    </row>
    <row r="33" spans="1:9" x14ac:dyDescent="0.2">
      <c r="A33" s="54"/>
      <c r="B33" s="53"/>
      <c r="C33" s="53"/>
      <c r="D33" s="53"/>
      <c r="E33" s="53"/>
      <c r="F33" s="53"/>
      <c r="G33" s="67" t="s">
        <v>261</v>
      </c>
      <c r="H33" s="53"/>
      <c r="I33" s="55"/>
    </row>
    <row r="34" spans="1:9" x14ac:dyDescent="0.2">
      <c r="A34" s="54"/>
      <c r="B34" s="53"/>
      <c r="C34" s="50" t="s">
        <v>5</v>
      </c>
      <c r="D34" s="53"/>
      <c r="E34" s="68">
        <f>B17</f>
        <v>1.6225452618826004</v>
      </c>
      <c r="F34" s="53"/>
      <c r="G34" s="65">
        <f>'Flare Calcs'!C9</f>
        <v>17.769122687680056</v>
      </c>
      <c r="H34" s="53"/>
      <c r="I34" s="55"/>
    </row>
    <row r="35" spans="1:9" x14ac:dyDescent="0.2">
      <c r="A35" s="54"/>
      <c r="B35" s="53"/>
      <c r="C35" s="65">
        <f>B11</f>
        <v>4.8769999999999998</v>
      </c>
      <c r="D35" s="53"/>
      <c r="E35" s="61" t="s">
        <v>259</v>
      </c>
      <c r="F35" s="53"/>
      <c r="G35" s="53"/>
      <c r="H35" s="53"/>
      <c r="I35" s="55"/>
    </row>
    <row r="36" spans="1:9" x14ac:dyDescent="0.2">
      <c r="A36" s="54"/>
      <c r="B36" s="53"/>
      <c r="C36" s="53"/>
      <c r="D36" s="53"/>
      <c r="E36" s="53"/>
      <c r="F36" s="61" t="s">
        <v>264</v>
      </c>
      <c r="G36" s="53"/>
      <c r="H36" s="53"/>
      <c r="I36" s="55"/>
    </row>
    <row r="37" spans="1:9" x14ac:dyDescent="0.2">
      <c r="A37" s="54"/>
      <c r="B37" s="53"/>
      <c r="C37" s="53"/>
      <c r="D37" s="53"/>
      <c r="E37" s="53"/>
      <c r="F37" s="69">
        <f>C35+G29</f>
        <v>5.3919821150884557</v>
      </c>
      <c r="G37" s="53"/>
      <c r="H37" s="53"/>
      <c r="I37" s="55"/>
    </row>
    <row r="38" spans="1:9" x14ac:dyDescent="0.2">
      <c r="A38" s="54"/>
      <c r="B38" s="53"/>
      <c r="C38" s="53"/>
      <c r="D38" s="53"/>
      <c r="E38" s="53"/>
      <c r="F38" s="53"/>
      <c r="G38" s="53"/>
      <c r="H38" s="53"/>
      <c r="I38" s="55"/>
    </row>
    <row r="39" spans="1:9" x14ac:dyDescent="0.2">
      <c r="A39" s="54"/>
      <c r="B39" s="53"/>
      <c r="C39" s="53"/>
      <c r="D39" s="53"/>
      <c r="E39" s="53"/>
      <c r="F39" s="53"/>
      <c r="G39" s="53"/>
      <c r="H39" s="53"/>
      <c r="I39" s="55"/>
    </row>
    <row r="40" spans="1:9" x14ac:dyDescent="0.2">
      <c r="A40" s="54"/>
      <c r="B40" s="53"/>
      <c r="C40" s="53"/>
      <c r="D40" s="53"/>
      <c r="E40" s="53"/>
      <c r="F40" s="53"/>
      <c r="G40" s="53"/>
      <c r="H40" s="53"/>
      <c r="I40" s="55"/>
    </row>
    <row r="41" spans="1:9" x14ac:dyDescent="0.2">
      <c r="A41" s="54"/>
      <c r="B41" s="53"/>
      <c r="C41" s="53"/>
      <c r="D41" s="53"/>
      <c r="E41" s="53"/>
      <c r="F41" s="53"/>
      <c r="G41" s="53"/>
      <c r="H41" s="53"/>
      <c r="I41" s="55"/>
    </row>
    <row r="42" spans="1:9" x14ac:dyDescent="0.2">
      <c r="A42" s="54"/>
      <c r="B42" s="53"/>
      <c r="C42" s="53"/>
      <c r="D42" s="53"/>
      <c r="E42" s="53"/>
      <c r="F42" s="53"/>
      <c r="G42" s="53"/>
      <c r="H42" s="53"/>
      <c r="I42" s="55"/>
    </row>
    <row r="43" spans="1:9" x14ac:dyDescent="0.2">
      <c r="A43" s="54"/>
      <c r="B43" s="53"/>
      <c r="C43" s="53"/>
      <c r="D43" s="53"/>
      <c r="E43" s="53"/>
      <c r="F43" s="53"/>
      <c r="G43" s="65">
        <f>SQRT(G34^2-(C35+G29)^2)</f>
        <v>16.931280222133008</v>
      </c>
      <c r="H43" s="53"/>
      <c r="I43" s="70"/>
    </row>
    <row r="44" spans="1:9" x14ac:dyDescent="0.2">
      <c r="A44" s="54"/>
      <c r="B44" s="53"/>
      <c r="C44" s="53"/>
      <c r="D44" s="53"/>
      <c r="E44" s="53"/>
      <c r="F44" s="53"/>
      <c r="G44" s="67" t="s">
        <v>265</v>
      </c>
      <c r="H44" s="53"/>
      <c r="I44" s="55"/>
    </row>
    <row r="45" spans="1:9" x14ac:dyDescent="0.2">
      <c r="A45" s="54"/>
      <c r="B45" s="53"/>
      <c r="C45" s="53"/>
      <c r="D45" s="53"/>
      <c r="E45" s="53"/>
      <c r="F45" s="65">
        <f>G43+E32</f>
        <v>22.355202220282621</v>
      </c>
      <c r="G45" s="53"/>
      <c r="H45" s="53"/>
      <c r="I45" s="55"/>
    </row>
    <row r="46" spans="1:9" x14ac:dyDescent="0.2">
      <c r="A46" s="54"/>
      <c r="B46" s="53"/>
      <c r="C46" s="53"/>
      <c r="D46" s="53"/>
      <c r="E46" s="53"/>
      <c r="F46" s="67" t="s">
        <v>1</v>
      </c>
      <c r="G46" s="53"/>
      <c r="H46" s="53"/>
      <c r="I46" s="55"/>
    </row>
    <row r="47" spans="1:9" ht="60.75" customHeight="1" thickBot="1" x14ac:dyDescent="0.25">
      <c r="A47" s="123" t="s">
        <v>405</v>
      </c>
      <c r="B47" s="124"/>
      <c r="C47" s="124"/>
      <c r="D47" s="124"/>
      <c r="E47" s="124"/>
      <c r="F47" s="124"/>
      <c r="G47" s="124"/>
      <c r="H47" s="124"/>
      <c r="I47" s="125"/>
    </row>
    <row r="48" spans="1:9" ht="15.75" thickTop="1" x14ac:dyDescent="0.2"/>
  </sheetData>
  <mergeCells count="19">
    <mergeCell ref="F13:I13"/>
    <mergeCell ref="F14:I14"/>
    <mergeCell ref="A8:C8"/>
    <mergeCell ref="E8:I8"/>
    <mergeCell ref="F9:I9"/>
    <mergeCell ref="F10:I10"/>
    <mergeCell ref="F11:I11"/>
    <mergeCell ref="A2:I2"/>
    <mergeCell ref="B4:D4"/>
    <mergeCell ref="B6:D6"/>
    <mergeCell ref="B5:D5"/>
    <mergeCell ref="F12:I12"/>
    <mergeCell ref="F16:I16"/>
    <mergeCell ref="F17:I17"/>
    <mergeCell ref="F18:I18"/>
    <mergeCell ref="A14:C14"/>
    <mergeCell ref="A47:I47"/>
    <mergeCell ref="F15:I15"/>
    <mergeCell ref="A19:C19"/>
  </mergeCells>
  <pageMargins left="0.2" right="0.2" top="0.17" bottom="0.17" header="0.17" footer="0.19"/>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'Default Fuel Tables'!$A$2:$E$2</xm:f>
          </x14:formula1>
          <xm:sqref>G4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58"/>
  <sheetViews>
    <sheetView zoomScale="85" zoomScaleNormal="85" workbookViewId="0">
      <selection activeCell="C106" sqref="C106"/>
    </sheetView>
  </sheetViews>
  <sheetFormatPr defaultRowHeight="15" x14ac:dyDescent="0.2"/>
  <cols>
    <col min="2" max="2" width="9.44140625" bestFit="1" customWidth="1"/>
    <col min="3" max="3" width="12.21875" bestFit="1" customWidth="1"/>
    <col min="4" max="4" width="10.109375" customWidth="1"/>
    <col min="5" max="6" width="12.21875" bestFit="1" customWidth="1"/>
  </cols>
  <sheetData>
    <row r="2" spans="1:4" ht="15.75" x14ac:dyDescent="0.25">
      <c r="A2" s="3" t="s">
        <v>7</v>
      </c>
    </row>
    <row r="3" spans="1:4" x14ac:dyDescent="0.2">
      <c r="A3" t="s">
        <v>8</v>
      </c>
    </row>
    <row r="4" spans="1:4" ht="18" x14ac:dyDescent="0.2">
      <c r="B4" t="s">
        <v>400</v>
      </c>
    </row>
    <row r="5" spans="1:4" ht="15.75" x14ac:dyDescent="0.25">
      <c r="B5" s="10" t="s">
        <v>40</v>
      </c>
      <c r="C5" s="12">
        <v>1</v>
      </c>
    </row>
    <row r="6" spans="1:4" ht="15.75" x14ac:dyDescent="0.25">
      <c r="B6" s="1" t="s">
        <v>41</v>
      </c>
      <c r="C6" s="14">
        <f>'Refined Flare Parameters'!E10</f>
        <v>0.25</v>
      </c>
    </row>
    <row r="7" spans="1:4" ht="15.75" x14ac:dyDescent="0.25">
      <c r="B7" s="1" t="s">
        <v>46</v>
      </c>
      <c r="C7" s="23">
        <f>C29</f>
        <v>25076.037709184002</v>
      </c>
      <c r="D7" t="s">
        <v>151</v>
      </c>
    </row>
    <row r="8" spans="1:4" ht="15.75" x14ac:dyDescent="0.25">
      <c r="B8" s="1" t="s">
        <v>47</v>
      </c>
      <c r="C8" s="14">
        <f>'Refined Flare Parameters'!E9</f>
        <v>1.58</v>
      </c>
    </row>
    <row r="9" spans="1:4" ht="15.75" x14ac:dyDescent="0.25">
      <c r="B9" s="1" t="s">
        <v>125</v>
      </c>
      <c r="C9" s="15">
        <f>((C5*C6*C7)/((4*PI())*C8))^0.5</f>
        <v>17.769122687680056</v>
      </c>
      <c r="D9" t="s">
        <v>4</v>
      </c>
    </row>
    <row r="10" spans="1:4" x14ac:dyDescent="0.2">
      <c r="C10" s="6">
        <f>C9*3.28083989501</f>
        <v>58.297646613068046</v>
      </c>
      <c r="D10" t="s">
        <v>3</v>
      </c>
    </row>
    <row r="11" spans="1:4" x14ac:dyDescent="0.2">
      <c r="C11" s="6"/>
    </row>
    <row r="12" spans="1:4" x14ac:dyDescent="0.2">
      <c r="B12" t="s">
        <v>37</v>
      </c>
    </row>
    <row r="13" spans="1:4" ht="15" customHeight="1" x14ac:dyDescent="0.2">
      <c r="B13" t="s">
        <v>9</v>
      </c>
    </row>
    <row r="14" spans="1:4" ht="15" customHeight="1" x14ac:dyDescent="0.2">
      <c r="B14" s="7" t="s">
        <v>11</v>
      </c>
    </row>
    <row r="15" spans="1:4" ht="15" customHeight="1" x14ac:dyDescent="0.2">
      <c r="B15" t="s">
        <v>156</v>
      </c>
    </row>
    <row r="16" spans="1:4" ht="15" customHeight="1" x14ac:dyDescent="0.2">
      <c r="B16" s="7" t="s">
        <v>10</v>
      </c>
    </row>
    <row r="17" spans="2:10" ht="18" customHeight="1" x14ac:dyDescent="0.2">
      <c r="B17" s="7" t="s">
        <v>50</v>
      </c>
    </row>
    <row r="18" spans="2:10" ht="18" customHeight="1" x14ac:dyDescent="0.2">
      <c r="B18" s="7"/>
    </row>
    <row r="19" spans="2:10" ht="15.75" x14ac:dyDescent="0.25">
      <c r="B19" s="9" t="s">
        <v>34</v>
      </c>
    </row>
    <row r="20" spans="2:10" ht="45.75" customHeight="1" x14ac:dyDescent="0.2">
      <c r="B20" s="134" t="s">
        <v>51</v>
      </c>
      <c r="C20" s="134"/>
      <c r="D20" s="134"/>
      <c r="E20" s="134"/>
      <c r="F20" s="134"/>
      <c r="G20" s="134"/>
      <c r="H20" s="134"/>
      <c r="I20" s="134"/>
      <c r="J20" s="134"/>
    </row>
    <row r="22" spans="2:10" ht="15.75" x14ac:dyDescent="0.25">
      <c r="B22" s="3" t="s">
        <v>35</v>
      </c>
    </row>
    <row r="23" spans="2:10" x14ac:dyDescent="0.2">
      <c r="B23" t="s">
        <v>36</v>
      </c>
    </row>
    <row r="25" spans="2:10" ht="19.5" x14ac:dyDescent="0.35">
      <c r="B25" t="s">
        <v>38</v>
      </c>
    </row>
    <row r="26" spans="2:10" ht="15.75" x14ac:dyDescent="0.25">
      <c r="B26" s="1" t="s">
        <v>52</v>
      </c>
      <c r="C26" s="12">
        <f>C44</f>
        <v>1625.6750540800001</v>
      </c>
    </row>
    <row r="27" spans="2:10" ht="19.5" x14ac:dyDescent="0.35">
      <c r="B27" s="1" t="s">
        <v>53</v>
      </c>
      <c r="C27" s="14">
        <v>1</v>
      </c>
    </row>
    <row r="28" spans="2:10" ht="19.5" x14ac:dyDescent="0.35">
      <c r="B28" s="1" t="s">
        <v>54</v>
      </c>
      <c r="C28" s="14">
        <f>'Refined Flare Parameters'!E11</f>
        <v>55.53</v>
      </c>
    </row>
    <row r="29" spans="2:10" ht="15.75" x14ac:dyDescent="0.25">
      <c r="B29" s="1" t="s">
        <v>46</v>
      </c>
      <c r="C29" s="22">
        <f>(C26/3.6)*C28</f>
        <v>25076.037709184002</v>
      </c>
      <c r="E29" s="78"/>
    </row>
    <row r="31" spans="2:10" x14ac:dyDescent="0.2">
      <c r="B31" t="s">
        <v>37</v>
      </c>
    </row>
    <row r="32" spans="2:10" x14ac:dyDescent="0.2">
      <c r="B32" t="s">
        <v>10</v>
      </c>
    </row>
    <row r="33" spans="2:10" x14ac:dyDescent="0.2">
      <c r="B33" t="s">
        <v>130</v>
      </c>
    </row>
    <row r="34" spans="2:10" ht="19.5" x14ac:dyDescent="0.35">
      <c r="B34" t="s">
        <v>39</v>
      </c>
    </row>
    <row r="35" spans="2:10" ht="19.5" x14ac:dyDescent="0.35">
      <c r="B35" t="s">
        <v>154</v>
      </c>
    </row>
    <row r="37" spans="2:10" ht="29.25" customHeight="1" x14ac:dyDescent="0.2">
      <c r="B37" s="134" t="s">
        <v>48</v>
      </c>
      <c r="C37" s="134"/>
      <c r="D37" s="134"/>
      <c r="E37" s="134"/>
      <c r="F37" s="134"/>
      <c r="G37" s="134"/>
      <c r="H37" s="134"/>
      <c r="I37" s="134"/>
      <c r="J37" s="134"/>
    </row>
    <row r="38" spans="2:10" x14ac:dyDescent="0.2">
      <c r="B38" s="11"/>
      <c r="C38" s="11"/>
      <c r="D38" s="11"/>
      <c r="E38" s="11"/>
      <c r="F38" s="11"/>
      <c r="G38" s="11"/>
      <c r="H38" s="11"/>
      <c r="I38" s="11"/>
      <c r="J38" s="11"/>
    </row>
    <row r="39" spans="2:10" ht="15.75" x14ac:dyDescent="0.25">
      <c r="B39" s="3" t="s">
        <v>129</v>
      </c>
    </row>
    <row r="40" spans="2:10" x14ac:dyDescent="0.2">
      <c r="B40" s="1" t="s">
        <v>233</v>
      </c>
    </row>
    <row r="41" spans="2:10" ht="15.75" x14ac:dyDescent="0.25">
      <c r="B41" s="1" t="s">
        <v>55</v>
      </c>
      <c r="C41" s="14">
        <f>'Refined Flare Parameters'!B9</f>
        <v>64000</v>
      </c>
    </row>
    <row r="42" spans="2:10" ht="15.75" x14ac:dyDescent="0.25">
      <c r="B42" s="1" t="s">
        <v>125</v>
      </c>
      <c r="C42" s="14">
        <f>'Refined Flare Parameters'!E12</f>
        <v>5.6000000000000001E-2</v>
      </c>
    </row>
    <row r="43" spans="2:10" ht="15.75" x14ac:dyDescent="0.25">
      <c r="B43" s="1" t="s">
        <v>52</v>
      </c>
      <c r="C43" s="15">
        <f>(C41*C42)</f>
        <v>3584</v>
      </c>
      <c r="D43" t="s">
        <v>153</v>
      </c>
    </row>
    <row r="44" spans="2:10" x14ac:dyDescent="0.2">
      <c r="C44" s="21">
        <f>C43*0.45359237</f>
        <v>1625.6750540800001</v>
      </c>
      <c r="D44" t="s">
        <v>155</v>
      </c>
    </row>
    <row r="45" spans="2:10" x14ac:dyDescent="0.2">
      <c r="B45" t="s">
        <v>124</v>
      </c>
    </row>
    <row r="46" spans="2:10" x14ac:dyDescent="0.2">
      <c r="B46" t="s">
        <v>152</v>
      </c>
    </row>
    <row r="47" spans="2:10" x14ac:dyDescent="0.2">
      <c r="B47" t="s">
        <v>128</v>
      </c>
    </row>
    <row r="48" spans="2:10" x14ac:dyDescent="0.2">
      <c r="B48" t="s">
        <v>127</v>
      </c>
    </row>
    <row r="49" spans="1:5" x14ac:dyDescent="0.2">
      <c r="B49" s="13" t="s">
        <v>158</v>
      </c>
    </row>
    <row r="50" spans="1:5" x14ac:dyDescent="0.2">
      <c r="B50" s="13"/>
    </row>
    <row r="51" spans="1:5" ht="15.75" x14ac:dyDescent="0.25">
      <c r="A51" s="16" t="s">
        <v>159</v>
      </c>
    </row>
    <row r="52" spans="1:5" ht="15.75" x14ac:dyDescent="0.25">
      <c r="B52" s="3" t="s">
        <v>160</v>
      </c>
    </row>
    <row r="53" spans="1:5" x14ac:dyDescent="0.2">
      <c r="B53" t="s">
        <v>435</v>
      </c>
    </row>
    <row r="55" spans="1:5" ht="18" x14ac:dyDescent="0.2">
      <c r="B55" t="s">
        <v>443</v>
      </c>
    </row>
    <row r="56" spans="1:5" ht="15.75" x14ac:dyDescent="0.25">
      <c r="B56" t="s">
        <v>222</v>
      </c>
      <c r="C56" s="19">
        <f>'Refined Flare Parameters'!E16</f>
        <v>0.2</v>
      </c>
    </row>
    <row r="57" spans="1:5" ht="15.75" x14ac:dyDescent="0.25">
      <c r="B57" s="1" t="s">
        <v>52</v>
      </c>
      <c r="C57" s="12">
        <f>C44</f>
        <v>1625.6750540800001</v>
      </c>
    </row>
    <row r="58" spans="1:5" ht="15.75" x14ac:dyDescent="0.25">
      <c r="B58" s="1" t="s">
        <v>171</v>
      </c>
      <c r="C58" s="14">
        <f>'Refined Flare Parameters'!E17</f>
        <v>101.325</v>
      </c>
    </row>
    <row r="59" spans="1:5" ht="15.75" x14ac:dyDescent="0.25">
      <c r="B59" s="1" t="s">
        <v>169</v>
      </c>
      <c r="C59" s="14">
        <v>1</v>
      </c>
    </row>
    <row r="60" spans="1:5" ht="15.75" x14ac:dyDescent="0.25">
      <c r="B60" s="1" t="s">
        <v>56</v>
      </c>
      <c r="C60" s="14">
        <f>'Refined Flare Parameters'!E14</f>
        <v>293.14999999999998</v>
      </c>
    </row>
    <row r="61" spans="1:5" ht="15.75" x14ac:dyDescent="0.25">
      <c r="B61" s="1" t="s">
        <v>170</v>
      </c>
      <c r="C61" s="14">
        <f>'Refined Flare Parameters'!E18</f>
        <v>1.27</v>
      </c>
    </row>
    <row r="62" spans="1:5" ht="15.75" x14ac:dyDescent="0.25">
      <c r="B62" s="1" t="s">
        <v>182</v>
      </c>
      <c r="C62" s="14">
        <f>'Refined Flare Parameters'!E13</f>
        <v>19.5</v>
      </c>
      <c r="E62" s="2" t="s">
        <v>236</v>
      </c>
    </row>
    <row r="63" spans="1:5" ht="15.75" x14ac:dyDescent="0.25">
      <c r="B63" s="1" t="s">
        <v>168</v>
      </c>
      <c r="C63" s="18">
        <f>SQRT(((0.0000323*(C57/C58)*((C59*C60)/(C61*C62))^0.5)/C56))</f>
        <v>9.4418635404535545E-2</v>
      </c>
      <c r="D63" t="s">
        <v>191</v>
      </c>
      <c r="E63" s="17">
        <f>0.0000323*(C57/(C58*C63^2))*(C59*C60/(C61*C62))^0.5</f>
        <v>0.20000000000000004</v>
      </c>
    </row>
    <row r="64" spans="1:5" ht="15.75" x14ac:dyDescent="0.25">
      <c r="B64" s="1" t="s">
        <v>168</v>
      </c>
      <c r="C64" s="18">
        <f>'Refined Flare Parameters'!B10</f>
        <v>0.254</v>
      </c>
      <c r="D64" t="s">
        <v>190</v>
      </c>
      <c r="E64" s="17">
        <f>0.0000323*(C57/(C58*C64^2))*(C59*C60/(C61*C62))^0.5</f>
        <v>2.7636179278487858E-2</v>
      </c>
    </row>
    <row r="66" spans="2:4" x14ac:dyDescent="0.2">
      <c r="B66" s="13" t="s">
        <v>37</v>
      </c>
    </row>
    <row r="67" spans="2:4" x14ac:dyDescent="0.2">
      <c r="B67" t="s">
        <v>161</v>
      </c>
    </row>
    <row r="68" spans="2:4" x14ac:dyDescent="0.2">
      <c r="B68" t="s">
        <v>162</v>
      </c>
    </row>
    <row r="69" spans="2:4" x14ac:dyDescent="0.2">
      <c r="B69" t="s">
        <v>163</v>
      </c>
    </row>
    <row r="70" spans="2:4" x14ac:dyDescent="0.2">
      <c r="B70" t="s">
        <v>164</v>
      </c>
    </row>
    <row r="71" spans="2:4" x14ac:dyDescent="0.2">
      <c r="B71" t="s">
        <v>165</v>
      </c>
    </row>
    <row r="72" spans="2:4" x14ac:dyDescent="0.2">
      <c r="B72" s="7" t="s">
        <v>166</v>
      </c>
    </row>
    <row r="73" spans="2:4" x14ac:dyDescent="0.2">
      <c r="B73" s="7" t="s">
        <v>167</v>
      </c>
    </row>
    <row r="75" spans="2:4" ht="15.75" x14ac:dyDescent="0.25">
      <c r="B75" s="3" t="s">
        <v>172</v>
      </c>
    </row>
    <row r="76" spans="2:4" x14ac:dyDescent="0.2">
      <c r="B76" t="s">
        <v>173</v>
      </c>
    </row>
    <row r="78" spans="2:4" x14ac:dyDescent="0.2">
      <c r="B78" t="s">
        <v>174</v>
      </c>
    </row>
    <row r="79" spans="2:4" x14ac:dyDescent="0.2">
      <c r="B79" s="1" t="s">
        <v>46</v>
      </c>
      <c r="C79" s="6">
        <f>C29*1000</f>
        <v>25076037.709184002</v>
      </c>
    </row>
    <row r="80" spans="2:4" ht="15.75" x14ac:dyDescent="0.25">
      <c r="B80" s="1" t="s">
        <v>177</v>
      </c>
      <c r="C80" s="15">
        <f>EXP(0.4562 *LN(C79)-5.3603)</f>
        <v>11.158175948648173</v>
      </c>
      <c r="D80" t="s">
        <v>4</v>
      </c>
    </row>
    <row r="82" spans="1:4" x14ac:dyDescent="0.2">
      <c r="B82" t="s">
        <v>37</v>
      </c>
    </row>
    <row r="83" spans="1:4" x14ac:dyDescent="0.2">
      <c r="B83" t="s">
        <v>175</v>
      </c>
    </row>
    <row r="84" spans="1:4" x14ac:dyDescent="0.2">
      <c r="B84" t="s">
        <v>176</v>
      </c>
    </row>
    <row r="86" spans="1:4" ht="15.75" x14ac:dyDescent="0.25">
      <c r="A86" s="9" t="s">
        <v>185</v>
      </c>
    </row>
    <row r="87" spans="1:4" x14ac:dyDescent="0.2">
      <c r="A87" t="s">
        <v>178</v>
      </c>
    </row>
    <row r="88" spans="1:4" ht="15.75" x14ac:dyDescent="0.25">
      <c r="A88" s="9"/>
      <c r="B88" s="3" t="s">
        <v>188</v>
      </c>
    </row>
    <row r="89" spans="1:4" x14ac:dyDescent="0.2">
      <c r="B89" t="s">
        <v>179</v>
      </c>
    </row>
    <row r="90" spans="1:4" ht="15.75" x14ac:dyDescent="0.25">
      <c r="B90" s="1" t="s">
        <v>52</v>
      </c>
      <c r="C90" s="12">
        <f>C44</f>
        <v>1625.6750540800001</v>
      </c>
    </row>
    <row r="91" spans="1:4" ht="15.75" x14ac:dyDescent="0.25">
      <c r="B91" s="1" t="s">
        <v>182</v>
      </c>
      <c r="C91" s="14">
        <f>'Refined Flare Parameters'!E13</f>
        <v>19.5</v>
      </c>
    </row>
    <row r="92" spans="1:4" ht="15.75" x14ac:dyDescent="0.25">
      <c r="B92" s="1" t="s">
        <v>56</v>
      </c>
      <c r="C92" s="14">
        <f>'Refined Flare Parameters'!E14</f>
        <v>293.14999999999998</v>
      </c>
    </row>
    <row r="93" spans="1:4" ht="18.75" x14ac:dyDescent="0.25">
      <c r="B93" s="1" t="s">
        <v>181</v>
      </c>
      <c r="C93" s="15">
        <f>(22.4*C90*C92)/(3600*273*C91)</f>
        <v>0.55702142403804744</v>
      </c>
      <c r="D93" t="s">
        <v>197</v>
      </c>
    </row>
    <row r="95" spans="1:4" x14ac:dyDescent="0.2">
      <c r="B95" t="s">
        <v>37</v>
      </c>
    </row>
    <row r="96" spans="1:4" ht="18" x14ac:dyDescent="0.2">
      <c r="B96" t="s">
        <v>180</v>
      </c>
    </row>
    <row r="97" spans="2:5" x14ac:dyDescent="0.2">
      <c r="B97" t="s">
        <v>183</v>
      </c>
    </row>
    <row r="98" spans="2:5" x14ac:dyDescent="0.2">
      <c r="B98" t="s">
        <v>196</v>
      </c>
    </row>
    <row r="99" spans="2:5" x14ac:dyDescent="0.2">
      <c r="B99" t="s">
        <v>166</v>
      </c>
    </row>
    <row r="101" spans="2:5" ht="15.75" x14ac:dyDescent="0.25">
      <c r="B101" s="3" t="s">
        <v>184</v>
      </c>
    </row>
    <row r="102" spans="2:5" ht="18" x14ac:dyDescent="0.2">
      <c r="B102" t="s">
        <v>234</v>
      </c>
    </row>
    <row r="103" spans="2:5" x14ac:dyDescent="0.2">
      <c r="C103" s="24" t="s">
        <v>407</v>
      </c>
      <c r="D103" s="24" t="s">
        <v>408</v>
      </c>
    </row>
    <row r="104" spans="2:5" ht="15.75" x14ac:dyDescent="0.25">
      <c r="B104" s="1" t="s">
        <v>168</v>
      </c>
      <c r="C104" s="25">
        <f>C63</f>
        <v>9.4418635404535545E-2</v>
      </c>
      <c r="D104" s="26">
        <f>C64</f>
        <v>0.254</v>
      </c>
    </row>
    <row r="105" spans="2:5" ht="19.5" x14ac:dyDescent="0.35">
      <c r="B105" s="1" t="s">
        <v>187</v>
      </c>
      <c r="C105" s="15">
        <f>(4*C93)/(PI()*(C104^2))*0.707106781187</f>
        <v>56.253763257062062</v>
      </c>
      <c r="D105" s="17">
        <f>(4*C93)/(PI()*(D104^2))*0.707106781187</f>
        <v>7.773195432308901</v>
      </c>
      <c r="E105" t="s">
        <v>2</v>
      </c>
    </row>
    <row r="106" spans="2:5" x14ac:dyDescent="0.2">
      <c r="B106" s="1"/>
      <c r="C106" s="79" t="s">
        <v>436</v>
      </c>
    </row>
    <row r="107" spans="2:5" x14ac:dyDescent="0.2">
      <c r="B107" s="13" t="s">
        <v>37</v>
      </c>
    </row>
    <row r="108" spans="2:5" ht="19.5" x14ac:dyDescent="0.35">
      <c r="B108" s="7" t="s">
        <v>186</v>
      </c>
    </row>
    <row r="109" spans="2:5" x14ac:dyDescent="0.2">
      <c r="B109" t="s">
        <v>164</v>
      </c>
    </row>
    <row r="111" spans="2:5" ht="15.75" x14ac:dyDescent="0.25">
      <c r="B111" s="3" t="s">
        <v>189</v>
      </c>
    </row>
    <row r="112" spans="2:5" ht="19.5" x14ac:dyDescent="0.35">
      <c r="B112" t="s">
        <v>223</v>
      </c>
    </row>
    <row r="113" spans="2:5" ht="19.5" x14ac:dyDescent="0.35">
      <c r="B113" s="1" t="s">
        <v>227</v>
      </c>
      <c r="C113" s="2">
        <f>'Refined Flare Parameters'!E15</f>
        <v>8.9</v>
      </c>
    </row>
    <row r="114" spans="2:5" x14ac:dyDescent="0.2">
      <c r="B114" s="1"/>
      <c r="C114" s="24" t="s">
        <v>191</v>
      </c>
      <c r="D114" s="24" t="s">
        <v>190</v>
      </c>
    </row>
    <row r="115" spans="2:5" ht="19.5" x14ac:dyDescent="0.35">
      <c r="B115" s="1" t="s">
        <v>187</v>
      </c>
      <c r="C115" s="6">
        <f>C105</f>
        <v>56.253763257062062</v>
      </c>
      <c r="D115" s="6">
        <f>D105</f>
        <v>7.773195432308901</v>
      </c>
    </row>
    <row r="116" spans="2:5" ht="15.75" x14ac:dyDescent="0.25">
      <c r="B116" s="1" t="s">
        <v>226</v>
      </c>
      <c r="C116" s="20">
        <f>C113/C115</f>
        <v>0.15821163749222947</v>
      </c>
      <c r="D116" s="20">
        <f>C113/D115</f>
        <v>1.1449602775980123</v>
      </c>
    </row>
    <row r="117" spans="2:5" ht="15.75" x14ac:dyDescent="0.25">
      <c r="B117" s="1"/>
      <c r="C117" s="20"/>
    </row>
    <row r="118" spans="2:5" x14ac:dyDescent="0.2">
      <c r="B118" s="13" t="s">
        <v>37</v>
      </c>
    </row>
    <row r="119" spans="2:5" x14ac:dyDescent="0.2">
      <c r="B119" t="s">
        <v>224</v>
      </c>
    </row>
    <row r="120" spans="2:5" ht="19.5" x14ac:dyDescent="0.35">
      <c r="B120" t="s">
        <v>225</v>
      </c>
    </row>
    <row r="122" spans="2:5" ht="15.75" x14ac:dyDescent="0.25">
      <c r="B122" s="3" t="s">
        <v>228</v>
      </c>
    </row>
    <row r="123" spans="2:5" ht="18" x14ac:dyDescent="0.2">
      <c r="B123" t="s">
        <v>244</v>
      </c>
    </row>
    <row r="124" spans="2:5" x14ac:dyDescent="0.2">
      <c r="B124" s="1" t="s">
        <v>177</v>
      </c>
      <c r="C124" s="6">
        <f>C80</f>
        <v>11.158175948648173</v>
      </c>
    </row>
    <row r="125" spans="2:5" x14ac:dyDescent="0.2">
      <c r="B125" s="1"/>
      <c r="C125" s="24" t="s">
        <v>191</v>
      </c>
      <c r="D125" s="24" t="s">
        <v>190</v>
      </c>
    </row>
    <row r="126" spans="2:5" x14ac:dyDescent="0.2">
      <c r="B126" s="1" t="s">
        <v>226</v>
      </c>
      <c r="C126" s="5">
        <f>C116</f>
        <v>0.15821163749222947</v>
      </c>
      <c r="D126" s="5">
        <f>D116</f>
        <v>1.1449602775980123</v>
      </c>
    </row>
    <row r="127" spans="2:5" ht="15.75" x14ac:dyDescent="0.25">
      <c r="B127" s="1" t="s">
        <v>229</v>
      </c>
      <c r="C127" s="17">
        <f>C124*(-0.0392+(0.1267/C126^0.5)+(0.0178/C126)-(0.003/C126^1.5))</f>
        <v>3.8403169843505349</v>
      </c>
      <c r="D127" s="17">
        <f>C124*(-0.0392+(0.1267/D126^0.5)+(0.0178/D126)-(0.003/D126^1.5))</f>
        <v>1.0299642301769112</v>
      </c>
      <c r="E127" t="s">
        <v>4</v>
      </c>
    </row>
    <row r="128" spans="2:5" ht="15.75" x14ac:dyDescent="0.25">
      <c r="B128" s="1"/>
      <c r="C128" s="17"/>
    </row>
    <row r="129" spans="2:5" x14ac:dyDescent="0.2">
      <c r="B129" s="13" t="s">
        <v>37</v>
      </c>
    </row>
    <row r="130" spans="2:5" x14ac:dyDescent="0.2">
      <c r="B130" s="13" t="s">
        <v>231</v>
      </c>
    </row>
    <row r="131" spans="2:5" x14ac:dyDescent="0.2">
      <c r="B131" s="13" t="s">
        <v>175</v>
      </c>
    </row>
    <row r="132" spans="2:5" x14ac:dyDescent="0.2">
      <c r="B132" t="s">
        <v>224</v>
      </c>
    </row>
    <row r="133" spans="2:5" ht="15.75" x14ac:dyDescent="0.25">
      <c r="B133" s="3" t="s">
        <v>235</v>
      </c>
    </row>
    <row r="134" spans="2:5" ht="18" x14ac:dyDescent="0.2">
      <c r="B134" t="s">
        <v>230</v>
      </c>
    </row>
    <row r="135" spans="2:5" x14ac:dyDescent="0.2">
      <c r="B135" s="1" t="s">
        <v>177</v>
      </c>
      <c r="C135" s="6">
        <f>C80</f>
        <v>11.158175948648173</v>
      </c>
    </row>
    <row r="136" spans="2:5" x14ac:dyDescent="0.2">
      <c r="B136" s="1"/>
      <c r="C136" s="24" t="s">
        <v>191</v>
      </c>
      <c r="D136" s="24" t="s">
        <v>190</v>
      </c>
    </row>
    <row r="137" spans="2:5" x14ac:dyDescent="0.2">
      <c r="B137" s="1" t="s">
        <v>226</v>
      </c>
      <c r="C137" s="5">
        <f>C116</f>
        <v>0.15821163749222947</v>
      </c>
      <c r="D137" s="5">
        <f>D116</f>
        <v>1.1449602775980123</v>
      </c>
    </row>
    <row r="138" spans="2:5" ht="15.75" x14ac:dyDescent="0.25">
      <c r="B138" s="1" t="s">
        <v>232</v>
      </c>
      <c r="C138" s="17">
        <f>C135*(0.9402+(0.1067/C137^0.5)-(0.0165/C137)+(0.0038/C137^1.5))^-1</f>
        <v>9.581556957220343</v>
      </c>
      <c r="D138" s="17">
        <f>C135*(0.9402+(0.1067/D137^0.5)-(0.0165/D137)+(0.0038/D137^1.5))^-1</f>
        <v>10.847843996299229</v>
      </c>
      <c r="E138" t="s">
        <v>4</v>
      </c>
    </row>
    <row r="140" spans="2:5" x14ac:dyDescent="0.2">
      <c r="B140" s="13" t="s">
        <v>37</v>
      </c>
    </row>
    <row r="141" spans="2:5" x14ac:dyDescent="0.2">
      <c r="B141" s="13" t="s">
        <v>245</v>
      </c>
      <c r="C141" s="4"/>
    </row>
    <row r="142" spans="2:5" x14ac:dyDescent="0.2">
      <c r="B142" s="13" t="s">
        <v>175</v>
      </c>
    </row>
    <row r="143" spans="2:5" x14ac:dyDescent="0.2">
      <c r="B143" t="s">
        <v>224</v>
      </c>
    </row>
    <row r="145" spans="2:4" ht="15.75" x14ac:dyDescent="0.25">
      <c r="B145" s="3" t="s">
        <v>247</v>
      </c>
    </row>
    <row r="146" spans="2:4" x14ac:dyDescent="0.2">
      <c r="B146" t="s">
        <v>246</v>
      </c>
    </row>
    <row r="148" spans="2:4" ht="19.5" x14ac:dyDescent="0.35">
      <c r="B148" t="s">
        <v>250</v>
      </c>
    </row>
    <row r="149" spans="2:4" x14ac:dyDescent="0.2">
      <c r="C149" s="24" t="s">
        <v>191</v>
      </c>
      <c r="D149" s="24" t="s">
        <v>190</v>
      </c>
    </row>
    <row r="150" spans="2:4" ht="19.5" x14ac:dyDescent="0.35">
      <c r="B150" s="1" t="s">
        <v>252</v>
      </c>
      <c r="C150" s="17">
        <f>0.5*C127</f>
        <v>1.9201584921752675</v>
      </c>
      <c r="D150" s="17">
        <f>D127/2</f>
        <v>0.51498211508845559</v>
      </c>
    </row>
    <row r="152" spans="2:4" ht="19.5" x14ac:dyDescent="0.35">
      <c r="B152" t="s">
        <v>251</v>
      </c>
    </row>
    <row r="153" spans="2:4" x14ac:dyDescent="0.2">
      <c r="C153" s="24" t="s">
        <v>191</v>
      </c>
      <c r="D153" s="24" t="s">
        <v>190</v>
      </c>
    </row>
    <row r="154" spans="2:4" ht="19.5" x14ac:dyDescent="0.35">
      <c r="B154" s="1" t="s">
        <v>253</v>
      </c>
      <c r="C154" s="17">
        <f>0.5*C138</f>
        <v>4.7907784786101715</v>
      </c>
      <c r="D154" s="17">
        <f>D138/2</f>
        <v>5.4239219981496145</v>
      </c>
    </row>
    <row r="156" spans="2:4" x14ac:dyDescent="0.2">
      <c r="B156" t="s">
        <v>37</v>
      </c>
    </row>
    <row r="157" spans="2:4" ht="19.5" x14ac:dyDescent="0.35">
      <c r="B157" t="s">
        <v>249</v>
      </c>
    </row>
    <row r="158" spans="2:4" ht="19.5" x14ac:dyDescent="0.35">
      <c r="B158" t="s">
        <v>248</v>
      </c>
    </row>
  </sheetData>
  <mergeCells count="2">
    <mergeCell ref="B20:J20"/>
    <mergeCell ref="B37:J37"/>
  </mergeCells>
  <pageMargins left="0.7" right="0.7" top="0.75" bottom="0.75" header="0.3" footer="0.3"/>
  <pageSetup orientation="landscape" r:id="rId1"/>
  <rowBreaks count="5" manualBreakCount="5">
    <brk id="21" max="16383" man="1"/>
    <brk id="50" max="16383" man="1"/>
    <brk id="74" max="16383" man="1"/>
    <brk id="100" max="16383" man="1"/>
    <brk id="13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3"/>
  <sheetViews>
    <sheetView workbookViewId="0">
      <selection activeCell="G32" sqref="G32"/>
    </sheetView>
  </sheetViews>
  <sheetFormatPr defaultRowHeight="12.75" x14ac:dyDescent="0.2"/>
  <cols>
    <col min="1" max="1" width="14.44140625" style="27" customWidth="1"/>
    <col min="2" max="2" width="21.21875" style="27" customWidth="1"/>
    <col min="3" max="3" width="12.6640625" style="27" customWidth="1"/>
    <col min="4" max="4" width="10" style="27" customWidth="1"/>
    <col min="5" max="5" width="8.88671875" style="27"/>
    <col min="6" max="6" width="14.33203125" style="27" bestFit="1" customWidth="1"/>
    <col min="7" max="7" width="14" style="33" customWidth="1"/>
    <col min="8" max="9" width="8.88671875" style="27"/>
    <col min="10" max="10" width="18.109375" style="27" customWidth="1"/>
    <col min="11" max="13" width="8.88671875" style="27"/>
    <col min="14" max="14" width="11.109375" style="27" bestFit="1" customWidth="1"/>
    <col min="15" max="15" width="8.88671875" style="27"/>
    <col min="16" max="16" width="8" style="27" customWidth="1"/>
    <col min="17" max="17" width="8.88671875" style="27"/>
    <col min="18" max="18" width="12.44140625" style="27" bestFit="1" customWidth="1"/>
    <col min="19" max="16384" width="8.88671875" style="27"/>
  </cols>
  <sheetData>
    <row r="1" spans="1:6" x14ac:dyDescent="0.2">
      <c r="A1" s="145" t="s">
        <v>32</v>
      </c>
      <c r="B1" s="146"/>
      <c r="C1" s="146"/>
      <c r="D1" s="146"/>
      <c r="E1" s="146"/>
      <c r="F1" s="146"/>
    </row>
    <row r="2" spans="1:6" ht="14.25" x14ac:dyDescent="0.2">
      <c r="A2" s="34" t="s">
        <v>271</v>
      </c>
      <c r="B2" s="151" t="s">
        <v>6</v>
      </c>
      <c r="C2" s="151"/>
      <c r="D2" s="151"/>
      <c r="E2" s="151"/>
      <c r="F2" s="151"/>
    </row>
    <row r="3" spans="1:6" ht="25.5" customHeight="1" x14ac:dyDescent="0.2">
      <c r="A3" s="35">
        <v>15.77</v>
      </c>
      <c r="B3" s="152" t="s">
        <v>45</v>
      </c>
      <c r="C3" s="152"/>
      <c r="D3" s="152"/>
      <c r="E3" s="152"/>
      <c r="F3" s="152"/>
    </row>
    <row r="4" spans="1:6" ht="38.25" customHeight="1" x14ac:dyDescent="0.2">
      <c r="A4" s="34">
        <v>9.4600000000000009</v>
      </c>
      <c r="B4" s="152" t="s">
        <v>157</v>
      </c>
      <c r="C4" s="152"/>
      <c r="D4" s="152"/>
      <c r="E4" s="152"/>
      <c r="F4" s="152"/>
    </row>
    <row r="5" spans="1:6" ht="24.75" customHeight="1" x14ac:dyDescent="0.2">
      <c r="A5" s="35">
        <v>6.31</v>
      </c>
      <c r="B5" s="153" t="s">
        <v>42</v>
      </c>
      <c r="C5" s="153"/>
      <c r="D5" s="153"/>
      <c r="E5" s="153"/>
      <c r="F5" s="153"/>
    </row>
    <row r="6" spans="1:6" ht="26.25" customHeight="1" x14ac:dyDescent="0.2">
      <c r="A6" s="35">
        <v>4.7300000000000004</v>
      </c>
      <c r="B6" s="153" t="s">
        <v>43</v>
      </c>
      <c r="C6" s="153"/>
      <c r="D6" s="153"/>
      <c r="E6" s="153"/>
      <c r="F6" s="153"/>
    </row>
    <row r="7" spans="1:6" ht="26.25" customHeight="1" x14ac:dyDescent="0.2">
      <c r="A7" s="35">
        <v>1.58</v>
      </c>
      <c r="B7" s="152" t="s">
        <v>44</v>
      </c>
      <c r="C7" s="152"/>
      <c r="D7" s="152"/>
      <c r="E7" s="152"/>
      <c r="F7" s="152"/>
    </row>
    <row r="8" spans="1:6" ht="14.25" x14ac:dyDescent="0.2">
      <c r="A8" s="36"/>
      <c r="B8" s="147" t="s">
        <v>272</v>
      </c>
      <c r="C8" s="147"/>
      <c r="D8" s="147"/>
      <c r="E8" s="147"/>
      <c r="F8" s="147"/>
    </row>
    <row r="9" spans="1:6" x14ac:dyDescent="0.2">
      <c r="A9" s="36"/>
      <c r="B9" s="37"/>
      <c r="C9" s="37"/>
      <c r="D9" s="37"/>
      <c r="E9" s="37"/>
      <c r="F9" s="37"/>
    </row>
    <row r="10" spans="1:6" x14ac:dyDescent="0.2">
      <c r="A10" s="148" t="s">
        <v>33</v>
      </c>
      <c r="B10" s="148"/>
    </row>
    <row r="11" spans="1:6" x14ac:dyDescent="0.2">
      <c r="A11" s="38" t="s">
        <v>12</v>
      </c>
      <c r="B11" s="39" t="s">
        <v>13</v>
      </c>
    </row>
    <row r="12" spans="1:6" x14ac:dyDescent="0.2">
      <c r="A12" s="40" t="s">
        <v>14</v>
      </c>
      <c r="B12" s="39">
        <v>0.15</v>
      </c>
      <c r="D12" s="41"/>
      <c r="E12" s="41"/>
      <c r="F12" s="41"/>
    </row>
    <row r="13" spans="1:6" x14ac:dyDescent="0.2">
      <c r="A13" s="40" t="s">
        <v>15</v>
      </c>
      <c r="B13" s="39">
        <v>0.3</v>
      </c>
    </row>
    <row r="14" spans="1:6" x14ac:dyDescent="0.2">
      <c r="A14" s="42" t="s">
        <v>16</v>
      </c>
      <c r="B14" s="39">
        <v>0.15</v>
      </c>
    </row>
    <row r="15" spans="1:6" x14ac:dyDescent="0.2">
      <c r="A15" s="42" t="s">
        <v>17</v>
      </c>
      <c r="B15" s="39">
        <v>0.25</v>
      </c>
    </row>
    <row r="16" spans="1:6" x14ac:dyDescent="0.2">
      <c r="A16" s="27" t="s">
        <v>19</v>
      </c>
    </row>
    <row r="19" spans="1:2" x14ac:dyDescent="0.2">
      <c r="A19" s="148" t="s">
        <v>49</v>
      </c>
      <c r="B19" s="148"/>
    </row>
    <row r="20" spans="1:2" x14ac:dyDescent="0.2">
      <c r="A20" s="39" t="s">
        <v>30</v>
      </c>
      <c r="B20" s="43" t="s">
        <v>31</v>
      </c>
    </row>
    <row r="21" spans="1:2" x14ac:dyDescent="0.2">
      <c r="A21" s="42" t="s">
        <v>16</v>
      </c>
      <c r="B21" s="39">
        <v>55.53</v>
      </c>
    </row>
    <row r="22" spans="1:2" x14ac:dyDescent="0.2">
      <c r="A22" s="42" t="s">
        <v>18</v>
      </c>
      <c r="B22" s="39">
        <v>51.91</v>
      </c>
    </row>
    <row r="23" spans="1:2" x14ac:dyDescent="0.2">
      <c r="A23" s="42" t="s">
        <v>19</v>
      </c>
      <c r="B23" s="39">
        <v>50.38</v>
      </c>
    </row>
    <row r="24" spans="1:2" x14ac:dyDescent="0.2">
      <c r="A24" s="44" t="s">
        <v>20</v>
      </c>
      <c r="B24" s="39">
        <v>49.44</v>
      </c>
    </row>
    <row r="25" spans="1:2" x14ac:dyDescent="0.2">
      <c r="A25" s="44" t="s">
        <v>21</v>
      </c>
      <c r="B25" s="39">
        <v>49.55</v>
      </c>
    </row>
    <row r="26" spans="1:2" x14ac:dyDescent="0.2">
      <c r="A26" s="42" t="s">
        <v>22</v>
      </c>
      <c r="B26" s="39">
        <v>48.96</v>
      </c>
    </row>
    <row r="27" spans="1:2" x14ac:dyDescent="0.2">
      <c r="A27" s="42" t="s">
        <v>23</v>
      </c>
      <c r="B27" s="39">
        <v>48.77</v>
      </c>
    </row>
    <row r="28" spans="1:2" x14ac:dyDescent="0.2">
      <c r="A28" s="42" t="s">
        <v>24</v>
      </c>
      <c r="B28" s="39">
        <v>48.7</v>
      </c>
    </row>
    <row r="29" spans="1:2" x14ac:dyDescent="0.2">
      <c r="A29" s="42" t="s">
        <v>25</v>
      </c>
      <c r="B29" s="39">
        <v>48.07</v>
      </c>
    </row>
    <row r="30" spans="1:2" x14ac:dyDescent="0.2">
      <c r="A30" s="42" t="s">
        <v>26</v>
      </c>
      <c r="B30" s="39">
        <v>47.88</v>
      </c>
    </row>
    <row r="31" spans="1:2" x14ac:dyDescent="0.2">
      <c r="A31" s="42" t="s">
        <v>14</v>
      </c>
      <c r="B31" s="39">
        <v>142.1</v>
      </c>
    </row>
    <row r="32" spans="1:2" x14ac:dyDescent="0.2">
      <c r="A32" s="42" t="s">
        <v>27</v>
      </c>
      <c r="B32" s="39">
        <v>10.11</v>
      </c>
    </row>
    <row r="33" spans="1:18" x14ac:dyDescent="0.2">
      <c r="A33" s="42" t="s">
        <v>28</v>
      </c>
      <c r="B33" s="39">
        <v>0</v>
      </c>
    </row>
    <row r="34" spans="1:18" x14ac:dyDescent="0.2">
      <c r="A34" s="42" t="s">
        <v>29</v>
      </c>
      <c r="B34" s="39">
        <v>0</v>
      </c>
    </row>
    <row r="37" spans="1:18" s="28" customFormat="1" x14ac:dyDescent="0.2">
      <c r="A37" s="140" t="s">
        <v>126</v>
      </c>
      <c r="B37" s="141"/>
      <c r="C37" s="141"/>
      <c r="D37" s="141"/>
      <c r="E37" s="141"/>
      <c r="F37" s="141"/>
      <c r="O37" s="27"/>
      <c r="P37" s="27"/>
      <c r="Q37" s="27"/>
      <c r="R37" s="27"/>
    </row>
    <row r="38" spans="1:18" s="28" customFormat="1" ht="14.25" x14ac:dyDescent="0.2">
      <c r="A38" s="149" t="s">
        <v>57</v>
      </c>
      <c r="B38" s="136" t="s">
        <v>58</v>
      </c>
      <c r="C38" s="45" t="s">
        <v>59</v>
      </c>
      <c r="D38" s="151" t="s">
        <v>61</v>
      </c>
      <c r="E38" s="151"/>
      <c r="F38" s="39" t="s">
        <v>273</v>
      </c>
    </row>
    <row r="39" spans="1:18" s="28" customFormat="1" ht="15.75" x14ac:dyDescent="0.2">
      <c r="A39" s="150"/>
      <c r="B39" s="136"/>
      <c r="C39" s="45" t="s">
        <v>60</v>
      </c>
      <c r="D39" s="46" t="s">
        <v>274</v>
      </c>
      <c r="E39" s="46" t="s">
        <v>275</v>
      </c>
      <c r="F39" s="46" t="s">
        <v>131</v>
      </c>
    </row>
    <row r="40" spans="1:18" s="28" customFormat="1" ht="14.25" x14ac:dyDescent="0.2">
      <c r="A40" s="144" t="s">
        <v>62</v>
      </c>
      <c r="B40" s="137" t="s">
        <v>276</v>
      </c>
      <c r="C40" s="135">
        <v>26</v>
      </c>
      <c r="D40" s="47" t="s">
        <v>277</v>
      </c>
      <c r="E40" s="47" t="s">
        <v>278</v>
      </c>
      <c r="F40" s="135">
        <v>0.9</v>
      </c>
    </row>
    <row r="41" spans="1:18" s="28" customFormat="1" ht="14.25" x14ac:dyDescent="0.2">
      <c r="A41" s="144"/>
      <c r="B41" s="137"/>
      <c r="C41" s="135"/>
      <c r="D41" s="47" t="s">
        <v>279</v>
      </c>
      <c r="E41" s="47" t="s">
        <v>280</v>
      </c>
      <c r="F41" s="135"/>
    </row>
    <row r="42" spans="1:18" s="28" customFormat="1" ht="14.25" x14ac:dyDescent="0.2">
      <c r="A42" s="144" t="s">
        <v>63</v>
      </c>
      <c r="B42" s="135"/>
      <c r="C42" s="135">
        <v>29</v>
      </c>
      <c r="D42" s="47" t="s">
        <v>281</v>
      </c>
      <c r="E42" s="47" t="s">
        <v>282</v>
      </c>
      <c r="F42" s="136" t="s">
        <v>283</v>
      </c>
    </row>
    <row r="43" spans="1:18" s="28" customFormat="1" ht="14.25" x14ac:dyDescent="0.2">
      <c r="A43" s="144"/>
      <c r="B43" s="135"/>
      <c r="C43" s="135"/>
      <c r="D43" s="47" t="s">
        <v>284</v>
      </c>
      <c r="E43" s="47" t="s">
        <v>285</v>
      </c>
      <c r="F43" s="136"/>
    </row>
    <row r="44" spans="1:18" s="28" customFormat="1" x14ac:dyDescent="0.2">
      <c r="A44" s="48" t="s">
        <v>132</v>
      </c>
      <c r="B44" s="47"/>
      <c r="C44" s="47"/>
      <c r="D44" s="47"/>
      <c r="E44" s="47"/>
      <c r="F44" s="47">
        <v>1.601</v>
      </c>
    </row>
    <row r="45" spans="1:18" s="28" customFormat="1" ht="14.25" x14ac:dyDescent="0.2">
      <c r="A45" s="144" t="s">
        <v>64</v>
      </c>
      <c r="B45" s="137" t="s">
        <v>286</v>
      </c>
      <c r="C45" s="135">
        <v>17.030999999999999</v>
      </c>
      <c r="D45" s="47" t="s">
        <v>287</v>
      </c>
      <c r="E45" s="47" t="s">
        <v>288</v>
      </c>
      <c r="F45" s="135">
        <v>0.59</v>
      </c>
    </row>
    <row r="46" spans="1:18" s="28" customFormat="1" ht="14.25" x14ac:dyDescent="0.2">
      <c r="A46" s="144"/>
      <c r="B46" s="137"/>
      <c r="C46" s="135"/>
      <c r="D46" s="47" t="s">
        <v>289</v>
      </c>
      <c r="E46" s="47" t="s">
        <v>290</v>
      </c>
      <c r="F46" s="135"/>
    </row>
    <row r="47" spans="1:18" s="28" customFormat="1" ht="14.25" x14ac:dyDescent="0.2">
      <c r="A47" s="144" t="s">
        <v>65</v>
      </c>
      <c r="B47" s="137" t="s">
        <v>66</v>
      </c>
      <c r="C47" s="135">
        <v>39.948</v>
      </c>
      <c r="D47" s="47" t="s">
        <v>291</v>
      </c>
      <c r="E47" s="47" t="s">
        <v>292</v>
      </c>
      <c r="F47" s="135">
        <v>1.38</v>
      </c>
    </row>
    <row r="48" spans="1:18" s="28" customFormat="1" ht="14.25" x14ac:dyDescent="0.2">
      <c r="A48" s="144"/>
      <c r="B48" s="137"/>
      <c r="C48" s="135"/>
      <c r="D48" s="47" t="s">
        <v>293</v>
      </c>
      <c r="E48" s="47" t="s">
        <v>294</v>
      </c>
      <c r="F48" s="135"/>
    </row>
    <row r="49" spans="1:6" s="28" customFormat="1" x14ac:dyDescent="0.2">
      <c r="A49" s="48" t="s">
        <v>133</v>
      </c>
      <c r="B49" s="46"/>
      <c r="C49" s="47"/>
      <c r="D49" s="47"/>
      <c r="E49" s="47"/>
      <c r="F49" s="47">
        <v>2.69</v>
      </c>
    </row>
    <row r="50" spans="1:6" s="28" customFormat="1" ht="15.75" x14ac:dyDescent="0.2">
      <c r="A50" s="48" t="s">
        <v>67</v>
      </c>
      <c r="B50" s="46" t="s">
        <v>295</v>
      </c>
      <c r="C50" s="47">
        <v>78.11</v>
      </c>
      <c r="D50" s="47">
        <v>3.4860000000000002</v>
      </c>
      <c r="E50" s="47">
        <v>0.20643</v>
      </c>
      <c r="F50" s="47">
        <v>2.6960999999999999</v>
      </c>
    </row>
    <row r="51" spans="1:6" s="28" customFormat="1" ht="14.25" x14ac:dyDescent="0.2">
      <c r="A51" s="48" t="s">
        <v>68</v>
      </c>
      <c r="B51" s="47"/>
      <c r="C51" s="47"/>
      <c r="D51" s="47" t="s">
        <v>296</v>
      </c>
      <c r="E51" s="47" t="s">
        <v>297</v>
      </c>
      <c r="F51" s="47">
        <v>1.02</v>
      </c>
    </row>
    <row r="52" spans="1:6" s="28" customFormat="1" ht="15.75" x14ac:dyDescent="0.2">
      <c r="A52" s="48" t="s">
        <v>298</v>
      </c>
      <c r="B52" s="47" t="s">
        <v>299</v>
      </c>
      <c r="C52" s="47"/>
      <c r="D52" s="47"/>
      <c r="E52" s="47"/>
      <c r="F52" s="47">
        <v>1.87</v>
      </c>
    </row>
    <row r="53" spans="1:6" s="28" customFormat="1" ht="14.25" x14ac:dyDescent="0.2">
      <c r="A53" s="144" t="s">
        <v>15</v>
      </c>
      <c r="B53" s="137" t="s">
        <v>300</v>
      </c>
      <c r="C53" s="135">
        <v>58.1</v>
      </c>
      <c r="D53" s="47" t="s">
        <v>301</v>
      </c>
      <c r="E53" s="47" t="s">
        <v>302</v>
      </c>
      <c r="F53" s="135">
        <v>2.0061</v>
      </c>
    </row>
    <row r="54" spans="1:6" s="28" customFormat="1" ht="14.25" x14ac:dyDescent="0.2">
      <c r="A54" s="144"/>
      <c r="B54" s="137"/>
      <c r="C54" s="135"/>
      <c r="D54" s="47" t="s">
        <v>303</v>
      </c>
      <c r="E54" s="47" t="s">
        <v>304</v>
      </c>
      <c r="F54" s="135"/>
    </row>
    <row r="55" spans="1:6" s="28" customFormat="1" ht="15.75" x14ac:dyDescent="0.2">
      <c r="A55" s="48" t="s">
        <v>69</v>
      </c>
      <c r="B55" s="46" t="s">
        <v>305</v>
      </c>
      <c r="C55" s="47">
        <v>56.11</v>
      </c>
      <c r="D55" s="47">
        <v>2.504</v>
      </c>
      <c r="E55" s="47" t="s">
        <v>306</v>
      </c>
      <c r="F55" s="47">
        <v>1.94</v>
      </c>
    </row>
    <row r="56" spans="1:6" s="28" customFormat="1" ht="14.25" x14ac:dyDescent="0.2">
      <c r="A56" s="144" t="s">
        <v>28</v>
      </c>
      <c r="B56" s="137" t="s">
        <v>307</v>
      </c>
      <c r="C56" s="135">
        <v>44.01</v>
      </c>
      <c r="D56" s="47" t="s">
        <v>308</v>
      </c>
      <c r="E56" s="47" t="s">
        <v>309</v>
      </c>
      <c r="F56" s="135">
        <v>1.5188999999999999</v>
      </c>
    </row>
    <row r="57" spans="1:6" s="28" customFormat="1" ht="14.25" x14ac:dyDescent="0.2">
      <c r="A57" s="144"/>
      <c r="B57" s="137"/>
      <c r="C57" s="135"/>
      <c r="D57" s="47" t="s">
        <v>310</v>
      </c>
      <c r="E57" s="47" t="s">
        <v>311</v>
      </c>
      <c r="F57" s="135"/>
    </row>
    <row r="58" spans="1:6" s="28" customFormat="1" x14ac:dyDescent="0.2">
      <c r="A58" s="48" t="s">
        <v>70</v>
      </c>
      <c r="B58" s="47"/>
      <c r="C58" s="47">
        <v>76.13</v>
      </c>
      <c r="D58" s="47"/>
      <c r="E58" s="47"/>
      <c r="F58" s="39"/>
    </row>
    <row r="59" spans="1:6" s="28" customFormat="1" ht="14.25" x14ac:dyDescent="0.2">
      <c r="A59" s="144" t="s">
        <v>27</v>
      </c>
      <c r="B59" s="137" t="s">
        <v>71</v>
      </c>
      <c r="C59" s="135">
        <v>28.01</v>
      </c>
      <c r="D59" s="47" t="s">
        <v>312</v>
      </c>
      <c r="E59" s="47" t="s">
        <v>313</v>
      </c>
      <c r="F59" s="135">
        <v>0.9667</v>
      </c>
    </row>
    <row r="60" spans="1:6" s="28" customFormat="1" ht="14.25" x14ac:dyDescent="0.2">
      <c r="A60" s="144"/>
      <c r="B60" s="137"/>
      <c r="C60" s="135"/>
      <c r="D60" s="47" t="s">
        <v>296</v>
      </c>
      <c r="E60" s="47" t="s">
        <v>297</v>
      </c>
      <c r="F60" s="135"/>
    </row>
    <row r="61" spans="1:6" s="28" customFormat="1" ht="25.5" x14ac:dyDescent="0.2">
      <c r="A61" s="48" t="s">
        <v>72</v>
      </c>
      <c r="B61" s="47"/>
      <c r="C61" s="47"/>
      <c r="D61" s="47"/>
      <c r="E61" s="47">
        <v>4.8000000000000001E-2</v>
      </c>
      <c r="F61" s="47">
        <v>0.63</v>
      </c>
    </row>
    <row r="62" spans="1:6" s="28" customFormat="1" ht="15.75" x14ac:dyDescent="0.2">
      <c r="A62" s="48" t="s">
        <v>73</v>
      </c>
      <c r="B62" s="46" t="s">
        <v>314</v>
      </c>
      <c r="C62" s="47">
        <v>70.906000000000006</v>
      </c>
      <c r="D62" s="47" t="s">
        <v>315</v>
      </c>
      <c r="E62" s="47" t="s">
        <v>316</v>
      </c>
      <c r="F62" s="47">
        <v>2.4860000000000002</v>
      </c>
    </row>
    <row r="63" spans="1:6" s="28" customFormat="1" ht="14.25" x14ac:dyDescent="0.2">
      <c r="A63" s="48" t="s">
        <v>74</v>
      </c>
      <c r="B63" s="47"/>
      <c r="C63" s="47"/>
      <c r="D63" s="47" t="s">
        <v>317</v>
      </c>
      <c r="E63" s="47"/>
      <c r="F63" s="39"/>
    </row>
    <row r="64" spans="1:6" s="28" customFormat="1" ht="14.25" x14ac:dyDescent="0.2">
      <c r="A64" s="48" t="s">
        <v>75</v>
      </c>
      <c r="B64" s="47"/>
      <c r="C64" s="47"/>
      <c r="D64" s="47"/>
      <c r="E64" s="47" t="s">
        <v>318</v>
      </c>
      <c r="F64" s="47">
        <v>0.44</v>
      </c>
    </row>
    <row r="65" spans="1:6" s="28" customFormat="1" ht="25.5" x14ac:dyDescent="0.2">
      <c r="A65" s="48" t="s">
        <v>76</v>
      </c>
      <c r="B65" s="47"/>
      <c r="C65" s="47"/>
      <c r="D65" s="47" t="s">
        <v>319</v>
      </c>
      <c r="E65" s="47" t="s">
        <v>320</v>
      </c>
      <c r="F65" s="39"/>
    </row>
    <row r="66" spans="1:6" s="28" customFormat="1" x14ac:dyDescent="0.2">
      <c r="A66" s="48" t="s">
        <v>134</v>
      </c>
      <c r="B66" s="47"/>
      <c r="C66" s="47"/>
      <c r="D66" s="47"/>
      <c r="E66" s="47"/>
      <c r="F66" s="47">
        <v>1.9379999999999999</v>
      </c>
    </row>
    <row r="67" spans="1:6" s="28" customFormat="1" x14ac:dyDescent="0.2">
      <c r="A67" s="48" t="s">
        <v>77</v>
      </c>
      <c r="B67" s="47"/>
      <c r="C67" s="47">
        <v>84.16</v>
      </c>
      <c r="D67" s="47"/>
      <c r="E67" s="47"/>
      <c r="F67" s="39"/>
    </row>
    <row r="68" spans="1:6" s="28" customFormat="1" x14ac:dyDescent="0.2">
      <c r="A68" s="48" t="s">
        <v>135</v>
      </c>
      <c r="B68" s="47"/>
      <c r="C68" s="47"/>
      <c r="D68" s="47"/>
      <c r="E68" s="47"/>
      <c r="F68" s="47">
        <v>2.4220000000000002</v>
      </c>
    </row>
    <row r="69" spans="1:6" s="28" customFormat="1" x14ac:dyDescent="0.2">
      <c r="A69" s="48" t="s">
        <v>136</v>
      </c>
      <c r="B69" s="47"/>
      <c r="C69" s="47"/>
      <c r="D69" s="47"/>
      <c r="E69" s="47"/>
      <c r="F69" s="47">
        <v>1.4510000000000001</v>
      </c>
    </row>
    <row r="70" spans="1:6" s="28" customFormat="1" x14ac:dyDescent="0.2">
      <c r="A70" s="48" t="s">
        <v>137</v>
      </c>
      <c r="B70" s="47"/>
      <c r="C70" s="47"/>
      <c r="D70" s="47"/>
      <c r="E70" s="47"/>
      <c r="F70" s="47">
        <v>4.915</v>
      </c>
    </row>
    <row r="71" spans="1:6" s="28" customFormat="1" ht="15.75" x14ac:dyDescent="0.2">
      <c r="A71" s="48" t="s">
        <v>321</v>
      </c>
      <c r="B71" s="47"/>
      <c r="C71" s="47"/>
      <c r="D71" s="47"/>
      <c r="E71" s="47"/>
      <c r="F71" s="47">
        <v>7.0000000000000007E-2</v>
      </c>
    </row>
    <row r="72" spans="1:6" s="28" customFormat="1" ht="25.5" x14ac:dyDescent="0.2">
      <c r="A72" s="48" t="s">
        <v>78</v>
      </c>
      <c r="B72" s="47"/>
      <c r="C72" s="47"/>
      <c r="D72" s="47"/>
      <c r="E72" s="47">
        <v>6.2E-2</v>
      </c>
      <c r="F72" s="47">
        <v>0.8</v>
      </c>
    </row>
    <row r="73" spans="1:6" s="28" customFormat="1" ht="15.75" x14ac:dyDescent="0.2">
      <c r="A73" s="48" t="s">
        <v>18</v>
      </c>
      <c r="B73" s="46" t="s">
        <v>322</v>
      </c>
      <c r="C73" s="47">
        <v>30.07</v>
      </c>
      <c r="D73" s="47" t="s">
        <v>323</v>
      </c>
      <c r="E73" s="47" t="s">
        <v>324</v>
      </c>
      <c r="F73" s="47">
        <v>1.0378000000000001</v>
      </c>
    </row>
    <row r="74" spans="1:6" s="28" customFormat="1" x14ac:dyDescent="0.2">
      <c r="A74" s="48" t="s">
        <v>138</v>
      </c>
      <c r="B74" s="46"/>
      <c r="C74" s="47"/>
      <c r="D74" s="47"/>
      <c r="E74" s="47"/>
      <c r="F74" s="47">
        <v>2.5859999999999999</v>
      </c>
    </row>
    <row r="75" spans="1:6" s="28" customFormat="1" x14ac:dyDescent="0.2">
      <c r="A75" s="48" t="s">
        <v>79</v>
      </c>
      <c r="B75" s="47"/>
      <c r="C75" s="47">
        <v>46.07</v>
      </c>
      <c r="D75" s="47"/>
      <c r="E75" s="47"/>
      <c r="F75" s="39"/>
    </row>
    <row r="76" spans="1:6" s="28" customFormat="1" ht="15.75" x14ac:dyDescent="0.2">
      <c r="A76" s="48" t="s">
        <v>80</v>
      </c>
      <c r="B76" s="47" t="s">
        <v>325</v>
      </c>
      <c r="C76" s="47">
        <v>64.52</v>
      </c>
      <c r="D76" s="47"/>
      <c r="E76" s="47"/>
      <c r="F76" s="47">
        <v>2.23</v>
      </c>
    </row>
    <row r="77" spans="1:6" s="28" customFormat="1" ht="15.75" x14ac:dyDescent="0.2">
      <c r="A77" s="48" t="s">
        <v>81</v>
      </c>
      <c r="B77" s="46" t="s">
        <v>326</v>
      </c>
      <c r="C77" s="47">
        <v>28.03</v>
      </c>
      <c r="D77" s="47" t="s">
        <v>327</v>
      </c>
      <c r="E77" s="47" t="s">
        <v>328</v>
      </c>
      <c r="F77" s="47">
        <v>0.96830000000000005</v>
      </c>
    </row>
    <row r="78" spans="1:6" s="28" customFormat="1" x14ac:dyDescent="0.2">
      <c r="A78" s="48" t="s">
        <v>139</v>
      </c>
      <c r="B78" s="46"/>
      <c r="C78" s="47"/>
      <c r="D78" s="47"/>
      <c r="E78" s="47"/>
      <c r="F78" s="47">
        <v>1.31</v>
      </c>
    </row>
    <row r="79" spans="1:6" s="28" customFormat="1" ht="14.25" x14ac:dyDescent="0.2">
      <c r="A79" s="144" t="s">
        <v>82</v>
      </c>
      <c r="B79" s="137" t="s">
        <v>83</v>
      </c>
      <c r="C79" s="135">
        <v>4.0199999999999996</v>
      </c>
      <c r="D79" s="47" t="s">
        <v>329</v>
      </c>
      <c r="E79" s="47" t="s">
        <v>330</v>
      </c>
      <c r="F79" s="135">
        <v>0.13800000000000001</v>
      </c>
    </row>
    <row r="80" spans="1:6" s="28" customFormat="1" ht="14.25" x14ac:dyDescent="0.2">
      <c r="A80" s="144"/>
      <c r="B80" s="137"/>
      <c r="C80" s="135"/>
      <c r="D80" s="47" t="s">
        <v>331</v>
      </c>
      <c r="E80" s="47" t="s">
        <v>332</v>
      </c>
      <c r="F80" s="135"/>
    </row>
    <row r="81" spans="1:6" s="28" customFormat="1" x14ac:dyDescent="0.2">
      <c r="A81" s="48" t="s">
        <v>84</v>
      </c>
      <c r="B81" s="47"/>
      <c r="C81" s="47">
        <v>100.2</v>
      </c>
      <c r="D81" s="47"/>
      <c r="E81" s="47"/>
      <c r="F81" s="47">
        <v>3.4590000000000001</v>
      </c>
    </row>
    <row r="82" spans="1:6" s="28" customFormat="1" x14ac:dyDescent="0.2">
      <c r="A82" s="48" t="s">
        <v>85</v>
      </c>
      <c r="B82" s="47"/>
      <c r="C82" s="47">
        <v>86.17</v>
      </c>
      <c r="D82" s="47"/>
      <c r="E82" s="47"/>
      <c r="F82" s="47">
        <v>2.9729999999999999</v>
      </c>
    </row>
    <row r="83" spans="1:6" s="28" customFormat="1" ht="15.75" x14ac:dyDescent="0.2">
      <c r="A83" s="48" t="s">
        <v>14</v>
      </c>
      <c r="B83" s="46" t="s">
        <v>333</v>
      </c>
      <c r="C83" s="47">
        <v>2.016</v>
      </c>
      <c r="D83" s="47" t="s">
        <v>334</v>
      </c>
      <c r="E83" s="47" t="s">
        <v>335</v>
      </c>
      <c r="F83" s="47">
        <v>6.9599999999999995E-2</v>
      </c>
    </row>
    <row r="84" spans="1:6" s="28" customFormat="1" ht="14.25" x14ac:dyDescent="0.2">
      <c r="A84" s="48" t="s">
        <v>87</v>
      </c>
      <c r="B84" s="46" t="s">
        <v>88</v>
      </c>
      <c r="C84" s="47">
        <v>36.5</v>
      </c>
      <c r="D84" s="47" t="s">
        <v>336</v>
      </c>
      <c r="E84" s="47" t="s">
        <v>337</v>
      </c>
      <c r="F84" s="47">
        <v>1.268</v>
      </c>
    </row>
    <row r="85" spans="1:6" s="28" customFormat="1" x14ac:dyDescent="0.2">
      <c r="A85" s="48" t="s">
        <v>140</v>
      </c>
      <c r="B85" s="46"/>
      <c r="C85" s="47"/>
      <c r="D85" s="47"/>
      <c r="E85" s="47"/>
      <c r="F85" s="47">
        <v>2.37</v>
      </c>
    </row>
    <row r="86" spans="1:6" s="28" customFormat="1" ht="14.25" x14ac:dyDescent="0.2">
      <c r="A86" s="48" t="s">
        <v>86</v>
      </c>
      <c r="B86" s="47"/>
      <c r="C86" s="47">
        <v>36.47</v>
      </c>
      <c r="D86" s="47" t="s">
        <v>338</v>
      </c>
      <c r="E86" s="47"/>
      <c r="F86" s="47">
        <v>1.2609999999999999</v>
      </c>
    </row>
    <row r="87" spans="1:6" s="28" customFormat="1" ht="15.75" x14ac:dyDescent="0.2">
      <c r="A87" s="48" t="s">
        <v>89</v>
      </c>
      <c r="B87" s="46" t="s">
        <v>339</v>
      </c>
      <c r="C87" s="47">
        <v>34.076000000000001</v>
      </c>
      <c r="D87" s="47" t="s">
        <v>340</v>
      </c>
      <c r="E87" s="47" t="s">
        <v>341</v>
      </c>
      <c r="F87" s="47">
        <v>1.1762999999999999</v>
      </c>
    </row>
    <row r="88" spans="1:6" s="28" customFormat="1" x14ac:dyDescent="0.2">
      <c r="A88" s="48" t="s">
        <v>141</v>
      </c>
      <c r="B88" s="39"/>
      <c r="C88" s="39"/>
      <c r="D88" s="39"/>
      <c r="E88" s="39"/>
      <c r="F88" s="47">
        <v>0.4</v>
      </c>
    </row>
    <row r="89" spans="1:6" s="28" customFormat="1" x14ac:dyDescent="0.2">
      <c r="A89" s="48" t="s">
        <v>142</v>
      </c>
      <c r="B89" s="39"/>
      <c r="C89" s="39"/>
      <c r="D89" s="39"/>
      <c r="E89" s="39"/>
      <c r="F89" s="47">
        <v>2.0099999999999998</v>
      </c>
    </row>
    <row r="90" spans="1:6" s="28" customFormat="1" x14ac:dyDescent="0.2">
      <c r="A90" s="48" t="s">
        <v>143</v>
      </c>
      <c r="B90" s="39"/>
      <c r="C90" s="39"/>
      <c r="D90" s="39"/>
      <c r="E90" s="39"/>
      <c r="F90" s="47">
        <v>2.48</v>
      </c>
    </row>
    <row r="91" spans="1:6" s="28" customFormat="1" ht="14.25" x14ac:dyDescent="0.2">
      <c r="A91" s="48" t="s">
        <v>90</v>
      </c>
      <c r="B91" s="47"/>
      <c r="C91" s="47"/>
      <c r="D91" s="47" t="s">
        <v>342</v>
      </c>
      <c r="E91" s="47"/>
      <c r="F91" s="47">
        <v>2.89</v>
      </c>
    </row>
    <row r="92" spans="1:6" s="28" customFormat="1" x14ac:dyDescent="0.2">
      <c r="A92" s="48" t="s">
        <v>144</v>
      </c>
      <c r="B92" s="39"/>
      <c r="C92" s="39"/>
      <c r="D92" s="39"/>
      <c r="E92" s="39"/>
      <c r="F92" s="47">
        <v>0.55500000000000005</v>
      </c>
    </row>
    <row r="93" spans="1:6" s="28" customFormat="1" x14ac:dyDescent="0.2">
      <c r="A93" s="48" t="s">
        <v>145</v>
      </c>
      <c r="B93" s="39"/>
      <c r="C93" s="39"/>
      <c r="D93" s="39"/>
      <c r="E93" s="39"/>
      <c r="F93" s="47">
        <v>6.94</v>
      </c>
    </row>
    <row r="94" spans="1:6" s="28" customFormat="1" ht="14.25" x14ac:dyDescent="0.2">
      <c r="A94" s="144" t="s">
        <v>16</v>
      </c>
      <c r="B94" s="137" t="s">
        <v>343</v>
      </c>
      <c r="C94" s="135">
        <v>16.042999999999999</v>
      </c>
      <c r="D94" s="47" t="s">
        <v>344</v>
      </c>
      <c r="E94" s="47" t="s">
        <v>345</v>
      </c>
      <c r="F94" s="142">
        <v>0.55369999999999997</v>
      </c>
    </row>
    <row r="95" spans="1:6" s="28" customFormat="1" ht="14.25" x14ac:dyDescent="0.2">
      <c r="A95" s="144"/>
      <c r="B95" s="137"/>
      <c r="C95" s="135"/>
      <c r="D95" s="47" t="s">
        <v>346</v>
      </c>
      <c r="E95" s="47" t="s">
        <v>347</v>
      </c>
      <c r="F95" s="143"/>
    </row>
    <row r="96" spans="1:6" s="28" customFormat="1" x14ac:dyDescent="0.2">
      <c r="A96" s="48" t="s">
        <v>91</v>
      </c>
      <c r="B96" s="47"/>
      <c r="C96" s="47">
        <v>32.04</v>
      </c>
      <c r="D96" s="47"/>
      <c r="E96" s="47"/>
      <c r="F96" s="39"/>
    </row>
    <row r="97" spans="1:6" s="28" customFormat="1" x14ac:dyDescent="0.2">
      <c r="A97" s="48" t="s">
        <v>92</v>
      </c>
      <c r="B97" s="47"/>
      <c r="C97" s="47">
        <v>72.150000000000006</v>
      </c>
      <c r="D97" s="47"/>
      <c r="E97" s="47"/>
      <c r="F97" s="39"/>
    </row>
    <row r="98" spans="1:6" s="28" customFormat="1" x14ac:dyDescent="0.2">
      <c r="A98" s="48" t="s">
        <v>93</v>
      </c>
      <c r="B98" s="47"/>
      <c r="C98" s="47">
        <v>50.49</v>
      </c>
      <c r="D98" s="47"/>
      <c r="E98" s="47"/>
      <c r="F98" s="47">
        <v>1.74</v>
      </c>
    </row>
    <row r="99" spans="1:6" s="28" customFormat="1" ht="27" x14ac:dyDescent="0.2">
      <c r="A99" s="48" t="s">
        <v>17</v>
      </c>
      <c r="B99" s="47"/>
      <c r="C99" s="47">
        <v>19.5</v>
      </c>
      <c r="D99" s="47" t="s">
        <v>348</v>
      </c>
      <c r="E99" s="47" t="s">
        <v>349</v>
      </c>
      <c r="F99" s="47" t="s">
        <v>146</v>
      </c>
    </row>
    <row r="100" spans="1:6" s="28" customFormat="1" ht="14.25" x14ac:dyDescent="0.2">
      <c r="A100" s="48" t="s">
        <v>94</v>
      </c>
      <c r="B100" s="46" t="s">
        <v>95</v>
      </c>
      <c r="C100" s="47">
        <v>20.178999999999998</v>
      </c>
      <c r="D100" s="47" t="s">
        <v>350</v>
      </c>
      <c r="E100" s="47" t="s">
        <v>351</v>
      </c>
      <c r="F100" s="47">
        <v>0.69699999999999995</v>
      </c>
    </row>
    <row r="101" spans="1:6" s="28" customFormat="1" ht="14.25" x14ac:dyDescent="0.2">
      <c r="A101" s="48" t="s">
        <v>96</v>
      </c>
      <c r="B101" s="46" t="s">
        <v>97</v>
      </c>
      <c r="C101" s="47">
        <v>30</v>
      </c>
      <c r="D101" s="47" t="s">
        <v>352</v>
      </c>
      <c r="E101" s="47" t="s">
        <v>353</v>
      </c>
      <c r="F101" s="47">
        <v>1.0369999999999999</v>
      </c>
    </row>
    <row r="102" spans="1:6" s="28" customFormat="1" ht="14.25" x14ac:dyDescent="0.2">
      <c r="A102" s="144" t="s">
        <v>29</v>
      </c>
      <c r="B102" s="137" t="s">
        <v>354</v>
      </c>
      <c r="C102" s="135">
        <v>28.02</v>
      </c>
      <c r="D102" s="47" t="s">
        <v>312</v>
      </c>
      <c r="E102" s="47" t="s">
        <v>313</v>
      </c>
      <c r="F102" s="47" t="s">
        <v>355</v>
      </c>
    </row>
    <row r="103" spans="1:6" s="28" customFormat="1" ht="14.25" x14ac:dyDescent="0.2">
      <c r="A103" s="144"/>
      <c r="B103" s="137"/>
      <c r="C103" s="135"/>
      <c r="D103" s="47" t="s">
        <v>356</v>
      </c>
      <c r="E103" s="47" t="s">
        <v>357</v>
      </c>
      <c r="F103" s="47" t="s">
        <v>358</v>
      </c>
    </row>
    <row r="104" spans="1:6" s="28" customFormat="1" ht="15.75" x14ac:dyDescent="0.2">
      <c r="A104" s="48" t="s">
        <v>98</v>
      </c>
      <c r="B104" s="46" t="s">
        <v>359</v>
      </c>
      <c r="C104" s="47">
        <v>46.006</v>
      </c>
      <c r="D104" s="47"/>
      <c r="E104" s="47"/>
      <c r="F104" s="39"/>
    </row>
    <row r="105" spans="1:6" s="28" customFormat="1" ht="15.75" x14ac:dyDescent="0.2">
      <c r="A105" s="48" t="s">
        <v>100</v>
      </c>
      <c r="B105" s="46" t="s">
        <v>360</v>
      </c>
      <c r="C105" s="47">
        <v>44.012999999999998</v>
      </c>
      <c r="D105" s="47"/>
      <c r="E105" s="47">
        <v>0.114</v>
      </c>
      <c r="F105" s="47">
        <v>1.53</v>
      </c>
    </row>
    <row r="106" spans="1:6" s="28" customFormat="1" ht="15.75" x14ac:dyDescent="0.2">
      <c r="A106" s="48" t="s">
        <v>101</v>
      </c>
      <c r="B106" s="46" t="s">
        <v>361</v>
      </c>
      <c r="C106" s="47">
        <v>62.005000000000003</v>
      </c>
      <c r="D106" s="47"/>
      <c r="E106" s="47"/>
      <c r="F106" s="39"/>
    </row>
    <row r="107" spans="1:6" s="28" customFormat="1" x14ac:dyDescent="0.2">
      <c r="A107" s="48" t="s">
        <v>99</v>
      </c>
      <c r="B107" s="47"/>
      <c r="C107" s="47">
        <v>114.22</v>
      </c>
      <c r="D107" s="47"/>
      <c r="E107" s="47"/>
      <c r="F107" s="39"/>
    </row>
    <row r="108" spans="1:6" s="28" customFormat="1" x14ac:dyDescent="0.2">
      <c r="A108" s="48" t="s">
        <v>147</v>
      </c>
      <c r="B108" s="46"/>
      <c r="C108" s="47"/>
      <c r="D108" s="47"/>
      <c r="E108" s="47"/>
      <c r="F108" s="47">
        <v>4.4279999999999999</v>
      </c>
    </row>
    <row r="109" spans="1:6" s="28" customFormat="1" x14ac:dyDescent="0.2">
      <c r="A109" s="49" t="s">
        <v>148</v>
      </c>
      <c r="B109" s="46"/>
      <c r="C109" s="47"/>
      <c r="D109" s="47"/>
      <c r="E109" s="47"/>
      <c r="F109" s="47">
        <v>3.944</v>
      </c>
    </row>
    <row r="110" spans="1:6" s="28" customFormat="1" ht="14.25" x14ac:dyDescent="0.2">
      <c r="A110" s="144" t="s">
        <v>102</v>
      </c>
      <c r="B110" s="137" t="s">
        <v>362</v>
      </c>
      <c r="C110" s="135">
        <v>32</v>
      </c>
      <c r="D110" s="47" t="s">
        <v>363</v>
      </c>
      <c r="E110" s="47" t="s">
        <v>364</v>
      </c>
      <c r="F110" s="135">
        <v>1.1044</v>
      </c>
    </row>
    <row r="111" spans="1:6" s="28" customFormat="1" ht="14.25" x14ac:dyDescent="0.2">
      <c r="A111" s="144"/>
      <c r="B111" s="137"/>
      <c r="C111" s="135"/>
      <c r="D111" s="47" t="s">
        <v>365</v>
      </c>
      <c r="E111" s="47" t="s">
        <v>366</v>
      </c>
      <c r="F111" s="135"/>
    </row>
    <row r="112" spans="1:6" s="28" customFormat="1" ht="15.75" x14ac:dyDescent="0.2">
      <c r="A112" s="48" t="s">
        <v>103</v>
      </c>
      <c r="B112" s="46" t="s">
        <v>367</v>
      </c>
      <c r="C112" s="47">
        <v>48</v>
      </c>
      <c r="D112" s="47" t="s">
        <v>368</v>
      </c>
      <c r="E112" s="47">
        <v>0.125</v>
      </c>
      <c r="F112" s="47">
        <v>1.66</v>
      </c>
    </row>
    <row r="113" spans="1:6" s="28" customFormat="1" x14ac:dyDescent="0.2">
      <c r="A113" s="48" t="s">
        <v>104</v>
      </c>
      <c r="B113" s="47"/>
      <c r="C113" s="47">
        <v>72.150000000000006</v>
      </c>
      <c r="D113" s="47"/>
      <c r="E113" s="47"/>
      <c r="F113" s="47">
        <v>2.4870000000000001</v>
      </c>
    </row>
    <row r="114" spans="1:6" s="28" customFormat="1" x14ac:dyDescent="0.2">
      <c r="A114" s="48" t="s">
        <v>105</v>
      </c>
      <c r="B114" s="47"/>
      <c r="C114" s="47">
        <v>72.150000000000006</v>
      </c>
      <c r="D114" s="47"/>
      <c r="E114" s="47"/>
      <c r="F114" s="47">
        <v>1.39</v>
      </c>
    </row>
    <row r="115" spans="1:6" s="28" customFormat="1" ht="15.75" x14ac:dyDescent="0.2">
      <c r="A115" s="48" t="s">
        <v>19</v>
      </c>
      <c r="B115" s="46" t="s">
        <v>369</v>
      </c>
      <c r="C115" s="47">
        <v>44.09</v>
      </c>
      <c r="D115" s="47" t="s">
        <v>370</v>
      </c>
      <c r="E115" s="47" t="s">
        <v>371</v>
      </c>
      <c r="F115" s="47">
        <v>1.5219</v>
      </c>
    </row>
    <row r="116" spans="1:6" s="28" customFormat="1" ht="15.75" x14ac:dyDescent="0.2">
      <c r="A116" s="48" t="s">
        <v>106</v>
      </c>
      <c r="B116" s="46" t="s">
        <v>372</v>
      </c>
      <c r="C116" s="47">
        <v>42.1</v>
      </c>
      <c r="D116" s="47" t="s">
        <v>373</v>
      </c>
      <c r="E116" s="47" t="s">
        <v>374</v>
      </c>
      <c r="F116" s="47">
        <v>1.4522999999999999</v>
      </c>
    </row>
    <row r="117" spans="1:6" s="28" customFormat="1" x14ac:dyDescent="0.2">
      <c r="A117" s="48" t="s">
        <v>107</v>
      </c>
      <c r="B117" s="47"/>
      <c r="C117" s="47">
        <v>137.37</v>
      </c>
      <c r="D117" s="47"/>
      <c r="E117" s="47"/>
      <c r="F117" s="47">
        <v>4.742</v>
      </c>
    </row>
    <row r="118" spans="1:6" s="28" customFormat="1" x14ac:dyDescent="0.2">
      <c r="A118" s="48" t="s">
        <v>108</v>
      </c>
      <c r="B118" s="47"/>
      <c r="C118" s="47">
        <v>120.92</v>
      </c>
      <c r="D118" s="47"/>
      <c r="E118" s="47"/>
      <c r="F118" s="47">
        <v>4.1740000000000004</v>
      </c>
    </row>
    <row r="119" spans="1:6" s="28" customFormat="1" x14ac:dyDescent="0.2">
      <c r="A119" s="48" t="s">
        <v>109</v>
      </c>
      <c r="B119" s="47"/>
      <c r="C119" s="47">
        <v>86.48</v>
      </c>
      <c r="D119" s="47"/>
      <c r="E119" s="47"/>
      <c r="F119" s="47">
        <v>2.9849999999999999</v>
      </c>
    </row>
    <row r="120" spans="1:6" s="28" customFormat="1" x14ac:dyDescent="0.2">
      <c r="A120" s="48" t="s">
        <v>110</v>
      </c>
      <c r="B120" s="47"/>
      <c r="C120" s="47">
        <v>170.93</v>
      </c>
      <c r="D120" s="47"/>
      <c r="E120" s="47"/>
      <c r="F120" s="47">
        <v>5.9</v>
      </c>
    </row>
    <row r="121" spans="1:6" s="28" customFormat="1" x14ac:dyDescent="0.2">
      <c r="A121" s="48" t="s">
        <v>111</v>
      </c>
      <c r="B121" s="47"/>
      <c r="C121" s="47">
        <v>152.93</v>
      </c>
      <c r="D121" s="47"/>
      <c r="E121" s="47"/>
      <c r="F121" s="47">
        <v>5.2789999999999999</v>
      </c>
    </row>
    <row r="122" spans="1:6" s="28" customFormat="1" x14ac:dyDescent="0.2">
      <c r="A122" s="48" t="s">
        <v>112</v>
      </c>
      <c r="B122" s="47"/>
      <c r="C122" s="47">
        <v>102.03</v>
      </c>
      <c r="D122" s="47"/>
      <c r="E122" s="47"/>
      <c r="F122" s="47">
        <v>3.5219999999999998</v>
      </c>
    </row>
    <row r="123" spans="1:6" s="28" customFormat="1" x14ac:dyDescent="0.2">
      <c r="A123" s="48" t="s">
        <v>113</v>
      </c>
      <c r="B123" s="47"/>
      <c r="C123" s="47"/>
      <c r="D123" s="47"/>
      <c r="E123" s="47">
        <v>3.2000000000000001E-2</v>
      </c>
      <c r="F123" s="47">
        <v>0.42</v>
      </c>
    </row>
    <row r="124" spans="1:6" s="28" customFormat="1" x14ac:dyDescent="0.2">
      <c r="A124" s="48" t="s">
        <v>114</v>
      </c>
      <c r="B124" s="46" t="s">
        <v>115</v>
      </c>
      <c r="C124" s="47">
        <v>32.06</v>
      </c>
      <c r="D124" s="47"/>
      <c r="E124" s="47">
        <v>0.13500000000000001</v>
      </c>
      <c r="F124" s="47">
        <v>1.1100000000000001</v>
      </c>
    </row>
    <row r="125" spans="1:6" s="28" customFormat="1" ht="14.25" x14ac:dyDescent="0.2">
      <c r="A125" s="144" t="s">
        <v>116</v>
      </c>
      <c r="B125" s="137" t="s">
        <v>375</v>
      </c>
      <c r="C125" s="135">
        <v>64.06</v>
      </c>
      <c r="D125" s="47" t="s">
        <v>376</v>
      </c>
      <c r="E125" s="47" t="s">
        <v>377</v>
      </c>
      <c r="F125" s="135">
        <v>2.2639999999999998</v>
      </c>
    </row>
    <row r="126" spans="1:6" s="28" customFormat="1" ht="14.25" x14ac:dyDescent="0.2">
      <c r="A126" s="144"/>
      <c r="B126" s="137"/>
      <c r="C126" s="135"/>
      <c r="D126" s="47" t="s">
        <v>378</v>
      </c>
      <c r="E126" s="47" t="s">
        <v>379</v>
      </c>
      <c r="F126" s="135"/>
    </row>
    <row r="127" spans="1:6" s="28" customFormat="1" ht="15.75" x14ac:dyDescent="0.2">
      <c r="A127" s="48" t="s">
        <v>117</v>
      </c>
      <c r="B127" s="46" t="s">
        <v>380</v>
      </c>
      <c r="C127" s="47">
        <v>80.061999999999998</v>
      </c>
      <c r="D127" s="47"/>
      <c r="E127" s="47"/>
      <c r="F127" s="39"/>
    </row>
    <row r="128" spans="1:6" s="28" customFormat="1" x14ac:dyDescent="0.2">
      <c r="A128" s="48" t="s">
        <v>118</v>
      </c>
      <c r="B128" s="46" t="s">
        <v>119</v>
      </c>
      <c r="C128" s="47">
        <v>48.063000000000002</v>
      </c>
      <c r="D128" s="47"/>
      <c r="E128" s="47"/>
      <c r="F128" s="39"/>
    </row>
    <row r="129" spans="1:9" s="28" customFormat="1" ht="15.75" x14ac:dyDescent="0.2">
      <c r="A129" s="48" t="s">
        <v>120</v>
      </c>
      <c r="B129" s="46" t="s">
        <v>381</v>
      </c>
      <c r="C129" s="47">
        <v>92.141000000000005</v>
      </c>
      <c r="D129" s="47">
        <v>4.1109999999999998</v>
      </c>
      <c r="E129" s="47">
        <v>0.24349999999999999</v>
      </c>
      <c r="F129" s="39"/>
    </row>
    <row r="130" spans="1:9" s="28" customFormat="1" ht="25.5" x14ac:dyDescent="0.2">
      <c r="A130" s="48" t="s">
        <v>150</v>
      </c>
      <c r="B130" s="46"/>
      <c r="C130" s="47"/>
      <c r="D130" s="47"/>
      <c r="E130" s="47"/>
      <c r="F130" s="47">
        <v>3.1082000000000001</v>
      </c>
    </row>
    <row r="131" spans="1:9" s="28" customFormat="1" ht="15.75" x14ac:dyDescent="0.2">
      <c r="A131" s="48" t="s">
        <v>121</v>
      </c>
      <c r="B131" s="46" t="s">
        <v>382</v>
      </c>
      <c r="C131" s="47">
        <v>18.015999999999998</v>
      </c>
      <c r="D131" s="47">
        <v>0.80400000000000005</v>
      </c>
      <c r="E131" s="47">
        <v>4.8000000000000001E-2</v>
      </c>
      <c r="F131" s="47">
        <v>0.62180000000000002</v>
      </c>
    </row>
    <row r="132" spans="1:9" s="28" customFormat="1" ht="25.5" x14ac:dyDescent="0.2">
      <c r="A132" s="48" t="s">
        <v>122</v>
      </c>
      <c r="B132" s="47"/>
      <c r="C132" s="47"/>
      <c r="D132" s="47"/>
      <c r="E132" s="47">
        <v>5.3999999999999999E-2</v>
      </c>
      <c r="F132" s="47">
        <v>0.71</v>
      </c>
    </row>
    <row r="133" spans="1:9" ht="14.25" x14ac:dyDescent="0.2">
      <c r="A133" s="48" t="s">
        <v>123</v>
      </c>
      <c r="B133" s="47"/>
      <c r="C133" s="47"/>
      <c r="D133" s="47" t="s">
        <v>383</v>
      </c>
      <c r="E133" s="47"/>
      <c r="F133" s="47">
        <v>4.53</v>
      </c>
    </row>
    <row r="134" spans="1:9" x14ac:dyDescent="0.2">
      <c r="A134" s="154" t="s">
        <v>384</v>
      </c>
      <c r="B134" s="154"/>
      <c r="C134" s="154"/>
      <c r="D134" s="154"/>
      <c r="E134" s="154"/>
      <c r="F134" s="33"/>
    </row>
    <row r="135" spans="1:9" x14ac:dyDescent="0.2">
      <c r="A135" s="154" t="s">
        <v>385</v>
      </c>
      <c r="B135" s="154"/>
      <c r="C135" s="154"/>
      <c r="D135" s="154"/>
      <c r="E135" s="154"/>
      <c r="F135" s="33"/>
      <c r="G135" s="50"/>
    </row>
    <row r="140" spans="1:9" x14ac:dyDescent="0.2">
      <c r="A140" s="29" t="s">
        <v>398</v>
      </c>
    </row>
    <row r="141" spans="1:9" x14ac:dyDescent="0.2">
      <c r="A141" s="136" t="s">
        <v>198</v>
      </c>
      <c r="B141" s="136" t="s">
        <v>58</v>
      </c>
      <c r="C141" s="138" t="s">
        <v>199</v>
      </c>
      <c r="D141" s="138"/>
      <c r="E141" s="138"/>
      <c r="F141" s="138"/>
      <c r="G141" s="136" t="s">
        <v>200</v>
      </c>
      <c r="H141" s="138" t="s">
        <v>201</v>
      </c>
      <c r="I141" s="138"/>
    </row>
    <row r="142" spans="1:9" x14ac:dyDescent="0.2">
      <c r="A142" s="136"/>
      <c r="B142" s="136"/>
      <c r="C142" s="138"/>
      <c r="D142" s="138"/>
      <c r="E142" s="138"/>
      <c r="F142" s="138"/>
      <c r="G142" s="136"/>
      <c r="H142" s="139" t="s">
        <v>202</v>
      </c>
      <c r="I142" s="139"/>
    </row>
    <row r="143" spans="1:9" ht="15.75" x14ac:dyDescent="0.2">
      <c r="A143" s="136"/>
      <c r="B143" s="136"/>
      <c r="C143" s="46" t="s">
        <v>386</v>
      </c>
      <c r="D143" s="46" t="s">
        <v>387</v>
      </c>
      <c r="E143" s="46" t="s">
        <v>386</v>
      </c>
      <c r="F143" s="46" t="s">
        <v>387</v>
      </c>
      <c r="G143" s="46" t="s">
        <v>204</v>
      </c>
      <c r="H143" s="46" t="s">
        <v>388</v>
      </c>
      <c r="I143" s="46" t="s">
        <v>388</v>
      </c>
    </row>
    <row r="144" spans="1:9" ht="28.5" x14ac:dyDescent="0.2">
      <c r="A144" s="136"/>
      <c r="B144" s="136"/>
      <c r="C144" s="46" t="s">
        <v>203</v>
      </c>
      <c r="D144" s="46" t="s">
        <v>203</v>
      </c>
      <c r="E144" s="46" t="s">
        <v>389</v>
      </c>
      <c r="F144" s="46" t="s">
        <v>389</v>
      </c>
      <c r="G144" s="46" t="s">
        <v>390</v>
      </c>
      <c r="H144" s="46" t="s">
        <v>203</v>
      </c>
      <c r="I144" s="46" t="s">
        <v>391</v>
      </c>
    </row>
    <row r="145" spans="1:9" x14ac:dyDescent="0.2">
      <c r="A145" s="47" t="s">
        <v>205</v>
      </c>
      <c r="B145" s="46"/>
      <c r="C145" s="47">
        <v>1.47</v>
      </c>
      <c r="D145" s="47">
        <v>1.32</v>
      </c>
      <c r="E145" s="47">
        <v>0.35</v>
      </c>
      <c r="F145" s="47">
        <v>0.32</v>
      </c>
      <c r="G145" s="47">
        <v>1.1100000000000001</v>
      </c>
      <c r="H145" s="47">
        <v>0.15</v>
      </c>
      <c r="I145" s="47"/>
    </row>
    <row r="146" spans="1:9" ht="15.75" x14ac:dyDescent="0.2">
      <c r="A146" s="47" t="s">
        <v>206</v>
      </c>
      <c r="B146" s="46" t="s">
        <v>276</v>
      </c>
      <c r="C146" s="47">
        <v>1.69</v>
      </c>
      <c r="D146" s="47">
        <v>1.37</v>
      </c>
      <c r="E146" s="47">
        <v>0.35</v>
      </c>
      <c r="F146" s="47">
        <v>0.27</v>
      </c>
      <c r="G146" s="47">
        <v>1.232</v>
      </c>
      <c r="H146" s="47">
        <v>0.31900000000000001</v>
      </c>
      <c r="I146" s="47">
        <v>59.34</v>
      </c>
    </row>
    <row r="147" spans="1:9" x14ac:dyDescent="0.2">
      <c r="A147" s="47" t="s">
        <v>63</v>
      </c>
      <c r="B147" s="47"/>
      <c r="C147" s="47">
        <v>1.01</v>
      </c>
      <c r="D147" s="47">
        <v>0.71799999999999997</v>
      </c>
      <c r="E147" s="47">
        <v>0.24</v>
      </c>
      <c r="F147" s="47">
        <v>0.17</v>
      </c>
      <c r="G147" s="47">
        <v>1.4</v>
      </c>
      <c r="H147" s="47">
        <v>0.28699999999999998</v>
      </c>
      <c r="I147" s="47">
        <v>53.34</v>
      </c>
    </row>
    <row r="148" spans="1:9" ht="15.75" x14ac:dyDescent="0.2">
      <c r="A148" s="47" t="s">
        <v>207</v>
      </c>
      <c r="B148" s="46" t="s">
        <v>392</v>
      </c>
      <c r="C148" s="47">
        <v>1.88</v>
      </c>
      <c r="D148" s="47">
        <v>1.67</v>
      </c>
      <c r="E148" s="47">
        <v>0.45</v>
      </c>
      <c r="F148" s="47">
        <v>0.4</v>
      </c>
      <c r="G148" s="47">
        <v>1.1299999999999999</v>
      </c>
      <c r="H148" s="47">
        <v>0.22</v>
      </c>
      <c r="I148" s="47"/>
    </row>
    <row r="149" spans="1:9" ht="15.75" x14ac:dyDescent="0.2">
      <c r="A149" s="47" t="s">
        <v>207</v>
      </c>
      <c r="B149" s="46" t="s">
        <v>393</v>
      </c>
      <c r="C149" s="47">
        <v>1.93</v>
      </c>
      <c r="D149" s="47">
        <v>1.53</v>
      </c>
      <c r="E149" s="47">
        <v>0.46</v>
      </c>
      <c r="F149" s="47">
        <v>0.37</v>
      </c>
      <c r="G149" s="47">
        <v>1.26</v>
      </c>
      <c r="H149" s="47">
        <v>0.39</v>
      </c>
      <c r="I149" s="47"/>
    </row>
    <row r="150" spans="1:9" ht="15.75" x14ac:dyDescent="0.2">
      <c r="A150" s="47" t="s">
        <v>64</v>
      </c>
      <c r="B150" s="46" t="s">
        <v>286</v>
      </c>
      <c r="C150" s="47">
        <v>2.19</v>
      </c>
      <c r="D150" s="47">
        <v>1.66</v>
      </c>
      <c r="E150" s="47">
        <v>0.52</v>
      </c>
      <c r="F150" s="47">
        <v>0.4</v>
      </c>
      <c r="G150" s="47">
        <v>1.31</v>
      </c>
      <c r="H150" s="47">
        <v>0.53</v>
      </c>
      <c r="I150" s="47">
        <v>96.5</v>
      </c>
    </row>
    <row r="151" spans="1:9" x14ac:dyDescent="0.2">
      <c r="A151" s="47" t="s">
        <v>65</v>
      </c>
      <c r="B151" s="46" t="s">
        <v>66</v>
      </c>
      <c r="C151" s="47">
        <v>0.52</v>
      </c>
      <c r="D151" s="47">
        <v>0.312</v>
      </c>
      <c r="E151" s="47">
        <v>0.12</v>
      </c>
      <c r="F151" s="47">
        <v>7.0000000000000007E-2</v>
      </c>
      <c r="G151" s="47">
        <v>1.667</v>
      </c>
      <c r="H151" s="47">
        <v>0.20799999999999999</v>
      </c>
      <c r="I151" s="47"/>
    </row>
    <row r="152" spans="1:9" ht="15.75" x14ac:dyDescent="0.2">
      <c r="A152" s="47" t="s">
        <v>67</v>
      </c>
      <c r="B152" s="46" t="s">
        <v>295</v>
      </c>
      <c r="C152" s="47">
        <v>1.0900000000000001</v>
      </c>
      <c r="D152" s="47">
        <v>0.99</v>
      </c>
      <c r="E152" s="47">
        <v>0.26</v>
      </c>
      <c r="F152" s="47">
        <v>0.24</v>
      </c>
      <c r="G152" s="47">
        <v>1.1200000000000001</v>
      </c>
      <c r="H152" s="47">
        <v>0.1</v>
      </c>
      <c r="I152" s="47"/>
    </row>
    <row r="153" spans="1:9" x14ac:dyDescent="0.2">
      <c r="A153" s="47" t="s">
        <v>68</v>
      </c>
      <c r="B153" s="47"/>
      <c r="C153" s="47">
        <v>1.03</v>
      </c>
      <c r="D153" s="47">
        <v>0.73</v>
      </c>
      <c r="E153" s="47">
        <v>0.25</v>
      </c>
      <c r="F153" s="47">
        <v>0.17</v>
      </c>
      <c r="G153" s="47">
        <v>1.41</v>
      </c>
      <c r="H153" s="47">
        <v>0.3</v>
      </c>
      <c r="I153" s="47">
        <v>55.05</v>
      </c>
    </row>
    <row r="154" spans="1:9" x14ac:dyDescent="0.2">
      <c r="A154" s="47" t="s">
        <v>208</v>
      </c>
      <c r="B154" s="46"/>
      <c r="C154" s="47">
        <v>0.25</v>
      </c>
      <c r="D154" s="47">
        <v>0.2</v>
      </c>
      <c r="E154" s="47">
        <v>0.06</v>
      </c>
      <c r="F154" s="47">
        <v>0.05</v>
      </c>
      <c r="G154" s="47">
        <v>1.28</v>
      </c>
      <c r="H154" s="47">
        <v>0.05</v>
      </c>
      <c r="I154" s="47"/>
    </row>
    <row r="155" spans="1:9" x14ac:dyDescent="0.2">
      <c r="A155" s="47" t="s">
        <v>209</v>
      </c>
      <c r="B155" s="47"/>
      <c r="C155" s="47"/>
      <c r="D155" s="47"/>
      <c r="E155" s="47"/>
      <c r="F155" s="47"/>
      <c r="G155" s="47">
        <v>1.1200000000000001</v>
      </c>
      <c r="H155" s="47"/>
      <c r="I155" s="47"/>
    </row>
    <row r="156" spans="1:9" ht="15.75" x14ac:dyDescent="0.2">
      <c r="A156" s="47" t="s">
        <v>15</v>
      </c>
      <c r="B156" s="46" t="s">
        <v>300</v>
      </c>
      <c r="C156" s="47">
        <v>1.67</v>
      </c>
      <c r="D156" s="47">
        <v>1.53</v>
      </c>
      <c r="E156" s="47">
        <v>0.39500000000000002</v>
      </c>
      <c r="F156" s="47">
        <v>0.35599999999999998</v>
      </c>
      <c r="G156" s="47">
        <v>1.0940000000000001</v>
      </c>
      <c r="H156" s="47">
        <v>0.14299999999999999</v>
      </c>
      <c r="I156" s="47">
        <v>26.5</v>
      </c>
    </row>
    <row r="157" spans="1:9" ht="15.75" x14ac:dyDescent="0.2">
      <c r="A157" s="47" t="s">
        <v>28</v>
      </c>
      <c r="B157" s="46" t="s">
        <v>307</v>
      </c>
      <c r="C157" s="47">
        <v>0.84399999999999997</v>
      </c>
      <c r="D157" s="47">
        <v>0.65500000000000003</v>
      </c>
      <c r="E157" s="47">
        <v>0.21</v>
      </c>
      <c r="F157" s="47">
        <v>0.16</v>
      </c>
      <c r="G157" s="47">
        <v>1.2889999999999999</v>
      </c>
      <c r="H157" s="47">
        <v>0.189</v>
      </c>
      <c r="I157" s="47">
        <v>38.86</v>
      </c>
    </row>
    <row r="158" spans="1:9" x14ac:dyDescent="0.2">
      <c r="A158" s="47" t="s">
        <v>27</v>
      </c>
      <c r="B158" s="46" t="s">
        <v>71</v>
      </c>
      <c r="C158" s="47">
        <v>1.02</v>
      </c>
      <c r="D158" s="47">
        <v>0.72</v>
      </c>
      <c r="E158" s="47">
        <v>0.24</v>
      </c>
      <c r="F158" s="47">
        <v>0.17</v>
      </c>
      <c r="G158" s="47">
        <v>1.4</v>
      </c>
      <c r="H158" s="47">
        <v>0.29699999999999999</v>
      </c>
      <c r="I158" s="47">
        <v>55.14</v>
      </c>
    </row>
    <row r="159" spans="1:9" x14ac:dyDescent="0.2">
      <c r="A159" s="47" t="s">
        <v>70</v>
      </c>
      <c r="B159" s="46"/>
      <c r="C159" s="47">
        <v>0.67</v>
      </c>
      <c r="D159" s="47">
        <v>0.55000000000000004</v>
      </c>
      <c r="E159" s="47">
        <v>0.16</v>
      </c>
      <c r="F159" s="47">
        <v>0.13</v>
      </c>
      <c r="G159" s="47">
        <v>1.21</v>
      </c>
      <c r="H159" s="47">
        <v>0.12</v>
      </c>
      <c r="I159" s="47"/>
    </row>
    <row r="160" spans="1:9" ht="15.75" x14ac:dyDescent="0.2">
      <c r="A160" s="47" t="s">
        <v>73</v>
      </c>
      <c r="B160" s="46" t="s">
        <v>314</v>
      </c>
      <c r="C160" s="47">
        <v>0.48</v>
      </c>
      <c r="D160" s="47">
        <v>0.36</v>
      </c>
      <c r="E160" s="47">
        <v>0.12</v>
      </c>
      <c r="F160" s="47">
        <v>0.09</v>
      </c>
      <c r="G160" s="47">
        <v>1.34</v>
      </c>
      <c r="H160" s="47">
        <v>0.12</v>
      </c>
      <c r="I160" s="47"/>
    </row>
    <row r="161" spans="1:9" x14ac:dyDescent="0.2">
      <c r="A161" s="47" t="s">
        <v>210</v>
      </c>
      <c r="B161" s="46"/>
      <c r="C161" s="47">
        <v>0.63</v>
      </c>
      <c r="D161" s="47">
        <v>0.55000000000000004</v>
      </c>
      <c r="E161" s="47">
        <v>0.15</v>
      </c>
      <c r="F161" s="47">
        <v>0.13</v>
      </c>
      <c r="G161" s="47">
        <v>1.1499999999999999</v>
      </c>
      <c r="H161" s="47">
        <v>0.08</v>
      </c>
      <c r="I161" s="47"/>
    </row>
    <row r="162" spans="1:9" x14ac:dyDescent="0.2">
      <c r="A162" s="47" t="s">
        <v>74</v>
      </c>
      <c r="B162" s="47"/>
      <c r="C162" s="47">
        <v>2.14</v>
      </c>
      <c r="D162" s="47">
        <v>1.59</v>
      </c>
      <c r="E162" s="47"/>
      <c r="F162" s="47"/>
      <c r="G162" s="47"/>
      <c r="H162" s="47"/>
      <c r="I162" s="47"/>
    </row>
    <row r="163" spans="1:9" ht="25.5" x14ac:dyDescent="0.2">
      <c r="A163" s="47" t="s">
        <v>76</v>
      </c>
      <c r="B163" s="47"/>
      <c r="C163" s="47">
        <v>1</v>
      </c>
      <c r="D163" s="47"/>
      <c r="E163" s="47">
        <v>0.24</v>
      </c>
      <c r="F163" s="47"/>
      <c r="G163" s="47"/>
      <c r="H163" s="47"/>
      <c r="I163" s="47"/>
    </row>
    <row r="164" spans="1:9" ht="15.75" x14ac:dyDescent="0.2">
      <c r="A164" s="47" t="s">
        <v>18</v>
      </c>
      <c r="B164" s="46" t="s">
        <v>322</v>
      </c>
      <c r="C164" s="47">
        <v>1.75</v>
      </c>
      <c r="D164" s="47">
        <v>1.48</v>
      </c>
      <c r="E164" s="47">
        <v>0.39</v>
      </c>
      <c r="F164" s="47">
        <v>0.32</v>
      </c>
      <c r="G164" s="47">
        <v>1.1870000000000001</v>
      </c>
      <c r="H164" s="47">
        <v>0.27600000000000002</v>
      </c>
      <c r="I164" s="47">
        <v>51.5</v>
      </c>
    </row>
    <row r="165" spans="1:9" x14ac:dyDescent="0.2">
      <c r="A165" s="47" t="s">
        <v>211</v>
      </c>
      <c r="B165" s="46"/>
      <c r="C165" s="47">
        <v>2.0099999999999998</v>
      </c>
      <c r="D165" s="47">
        <v>1.95</v>
      </c>
      <c r="E165" s="47">
        <v>0.48</v>
      </c>
      <c r="F165" s="47">
        <v>0.47</v>
      </c>
      <c r="G165" s="47">
        <v>1.03</v>
      </c>
      <c r="H165" s="47">
        <v>0.06</v>
      </c>
      <c r="I165" s="47"/>
    </row>
    <row r="166" spans="1:9" ht="15.75" x14ac:dyDescent="0.2">
      <c r="A166" s="47" t="s">
        <v>81</v>
      </c>
      <c r="B166" s="46" t="s">
        <v>326</v>
      </c>
      <c r="C166" s="47">
        <v>1.53</v>
      </c>
      <c r="D166" s="47">
        <v>1.23</v>
      </c>
      <c r="E166" s="47">
        <v>0.4</v>
      </c>
      <c r="F166" s="47">
        <v>0.33</v>
      </c>
      <c r="G166" s="47">
        <v>1.24</v>
      </c>
      <c r="H166" s="47">
        <v>0.29599999999999999</v>
      </c>
      <c r="I166" s="47">
        <v>55.08</v>
      </c>
    </row>
    <row r="167" spans="1:9" x14ac:dyDescent="0.2">
      <c r="A167" s="47" t="s">
        <v>212</v>
      </c>
      <c r="B167" s="47"/>
      <c r="C167" s="47"/>
      <c r="D167" s="47"/>
      <c r="E167" s="47"/>
      <c r="F167" s="47"/>
      <c r="G167" s="47">
        <v>1.18</v>
      </c>
      <c r="H167" s="47"/>
      <c r="I167" s="47"/>
    </row>
    <row r="168" spans="1:9" x14ac:dyDescent="0.2">
      <c r="A168" s="47" t="s">
        <v>82</v>
      </c>
      <c r="B168" s="46" t="s">
        <v>83</v>
      </c>
      <c r="C168" s="47">
        <v>5.19</v>
      </c>
      <c r="D168" s="47">
        <v>3.12</v>
      </c>
      <c r="E168" s="47">
        <v>1.25</v>
      </c>
      <c r="F168" s="47">
        <v>0.75</v>
      </c>
      <c r="G168" s="47">
        <v>1.667</v>
      </c>
      <c r="H168" s="47">
        <v>2.08</v>
      </c>
      <c r="I168" s="47">
        <v>386.3</v>
      </c>
    </row>
    <row r="169" spans="1:9" x14ac:dyDescent="0.2">
      <c r="A169" s="47" t="s">
        <v>85</v>
      </c>
      <c r="B169" s="47"/>
      <c r="C169" s="47"/>
      <c r="D169" s="47"/>
      <c r="E169" s="47"/>
      <c r="F169" s="47"/>
      <c r="G169" s="47">
        <v>1.06</v>
      </c>
      <c r="H169" s="47"/>
      <c r="I169" s="47"/>
    </row>
    <row r="170" spans="1:9" x14ac:dyDescent="0.2">
      <c r="A170" s="47" t="s">
        <v>213</v>
      </c>
      <c r="B170" s="47"/>
      <c r="C170" s="47">
        <v>0.79500000000000004</v>
      </c>
      <c r="D170" s="47">
        <v>0.56699999999999995</v>
      </c>
      <c r="E170" s="47"/>
      <c r="F170" s="47"/>
      <c r="G170" s="47"/>
      <c r="H170" s="47"/>
      <c r="I170" s="47"/>
    </row>
    <row r="171" spans="1:9" ht="15.75" x14ac:dyDescent="0.2">
      <c r="A171" s="47" t="s">
        <v>14</v>
      </c>
      <c r="B171" s="46" t="s">
        <v>333</v>
      </c>
      <c r="C171" s="47">
        <v>14.32</v>
      </c>
      <c r="D171" s="47">
        <v>10.16</v>
      </c>
      <c r="E171" s="47">
        <v>3.42</v>
      </c>
      <c r="F171" s="47">
        <v>2.4300000000000002</v>
      </c>
      <c r="G171" s="47">
        <v>1.405</v>
      </c>
      <c r="H171" s="47">
        <v>4.12</v>
      </c>
      <c r="I171" s="47">
        <v>765.9</v>
      </c>
    </row>
    <row r="172" spans="1:9" x14ac:dyDescent="0.2">
      <c r="A172" s="47" t="s">
        <v>87</v>
      </c>
      <c r="B172" s="46" t="s">
        <v>88</v>
      </c>
      <c r="C172" s="47">
        <v>0.8</v>
      </c>
      <c r="D172" s="47">
        <v>0.56999999999999995</v>
      </c>
      <c r="E172" s="47">
        <v>0.191</v>
      </c>
      <c r="F172" s="47">
        <v>0.13500000000000001</v>
      </c>
      <c r="G172" s="47">
        <v>1.41</v>
      </c>
      <c r="H172" s="47">
        <v>0.23</v>
      </c>
      <c r="I172" s="47">
        <v>42.4</v>
      </c>
    </row>
    <row r="173" spans="1:9" ht="15.75" x14ac:dyDescent="0.2">
      <c r="A173" s="47" t="s">
        <v>89</v>
      </c>
      <c r="B173" s="46" t="s">
        <v>339</v>
      </c>
      <c r="C173" s="47"/>
      <c r="D173" s="47"/>
      <c r="E173" s="47">
        <v>0.24299999999999999</v>
      </c>
      <c r="F173" s="47">
        <v>0.187</v>
      </c>
      <c r="G173" s="47">
        <v>1.32</v>
      </c>
      <c r="H173" s="47"/>
      <c r="I173" s="47">
        <v>45.2</v>
      </c>
    </row>
    <row r="174" spans="1:9" x14ac:dyDescent="0.2">
      <c r="A174" s="47" t="s">
        <v>214</v>
      </c>
      <c r="B174" s="46" t="s">
        <v>215</v>
      </c>
      <c r="C174" s="47">
        <v>1.76</v>
      </c>
      <c r="D174" s="47">
        <v>1.27</v>
      </c>
      <c r="E174" s="47"/>
      <c r="F174" s="47"/>
      <c r="G174" s="47">
        <v>1.3839999999999999</v>
      </c>
      <c r="H174" s="47">
        <v>0.48899999999999999</v>
      </c>
      <c r="I174" s="47"/>
    </row>
    <row r="175" spans="1:9" x14ac:dyDescent="0.2">
      <c r="A175" s="47" t="s">
        <v>90</v>
      </c>
      <c r="B175" s="47"/>
      <c r="C175" s="47">
        <v>0.25</v>
      </c>
      <c r="D175" s="47">
        <v>0.151</v>
      </c>
      <c r="E175" s="47"/>
      <c r="F175" s="47"/>
      <c r="G175" s="47"/>
      <c r="H175" s="47"/>
      <c r="I175" s="47"/>
    </row>
    <row r="176" spans="1:9" ht="15.75" x14ac:dyDescent="0.2">
      <c r="A176" s="47" t="s">
        <v>16</v>
      </c>
      <c r="B176" s="46" t="s">
        <v>343</v>
      </c>
      <c r="C176" s="47">
        <v>2.2200000000000002</v>
      </c>
      <c r="D176" s="47">
        <v>1.7</v>
      </c>
      <c r="E176" s="47">
        <v>0.59</v>
      </c>
      <c r="F176" s="47">
        <v>0.45</v>
      </c>
      <c r="G176" s="47">
        <v>1.304</v>
      </c>
      <c r="H176" s="47">
        <v>0.51800000000000002</v>
      </c>
      <c r="I176" s="47">
        <v>96.4</v>
      </c>
    </row>
    <row r="177" spans="1:9" ht="15.75" x14ac:dyDescent="0.2">
      <c r="A177" s="47" t="s">
        <v>93</v>
      </c>
      <c r="B177" s="46" t="s">
        <v>394</v>
      </c>
      <c r="C177" s="47"/>
      <c r="D177" s="47"/>
      <c r="E177" s="47">
        <v>0.24</v>
      </c>
      <c r="F177" s="47">
        <v>0.2</v>
      </c>
      <c r="G177" s="47">
        <v>1.2</v>
      </c>
      <c r="H177" s="47"/>
      <c r="I177" s="47">
        <v>30.6</v>
      </c>
    </row>
    <row r="178" spans="1:9" x14ac:dyDescent="0.2">
      <c r="A178" s="47" t="s">
        <v>216</v>
      </c>
      <c r="B178" s="47"/>
      <c r="C178" s="47">
        <v>2.34</v>
      </c>
      <c r="D178" s="47">
        <v>1.85</v>
      </c>
      <c r="E178" s="47">
        <v>0.56000000000000005</v>
      </c>
      <c r="F178" s="47">
        <v>0.44</v>
      </c>
      <c r="G178" s="47">
        <v>1.27</v>
      </c>
      <c r="H178" s="47">
        <v>0.5</v>
      </c>
      <c r="I178" s="47">
        <v>79.099999999999994</v>
      </c>
    </row>
    <row r="179" spans="1:9" x14ac:dyDescent="0.2">
      <c r="A179" s="47" t="s">
        <v>94</v>
      </c>
      <c r="B179" s="47"/>
      <c r="C179" s="47">
        <v>1.03</v>
      </c>
      <c r="D179" s="47">
        <v>0.61799999999999999</v>
      </c>
      <c r="E179" s="47"/>
      <c r="F179" s="47"/>
      <c r="G179" s="47">
        <v>1.667</v>
      </c>
      <c r="H179" s="47">
        <v>0.41199999999999998</v>
      </c>
      <c r="I179" s="47"/>
    </row>
    <row r="180" spans="1:9" x14ac:dyDescent="0.2">
      <c r="A180" s="47" t="s">
        <v>217</v>
      </c>
      <c r="B180" s="46" t="s">
        <v>97</v>
      </c>
      <c r="C180" s="47">
        <v>0.995</v>
      </c>
      <c r="D180" s="47">
        <v>0.71799999999999997</v>
      </c>
      <c r="E180" s="47">
        <v>0.23</v>
      </c>
      <c r="F180" s="47">
        <v>0.17</v>
      </c>
      <c r="G180" s="47">
        <v>1.3859999999999999</v>
      </c>
      <c r="H180" s="47">
        <v>0.27700000000000002</v>
      </c>
      <c r="I180" s="47"/>
    </row>
    <row r="181" spans="1:9" ht="15.75" x14ac:dyDescent="0.2">
      <c r="A181" s="47" t="s">
        <v>29</v>
      </c>
      <c r="B181" s="46" t="s">
        <v>354</v>
      </c>
      <c r="C181" s="47">
        <v>1.04</v>
      </c>
      <c r="D181" s="47">
        <v>0.74299999999999999</v>
      </c>
      <c r="E181" s="47">
        <v>0.25</v>
      </c>
      <c r="F181" s="47">
        <v>0.18</v>
      </c>
      <c r="G181" s="47">
        <v>1.4</v>
      </c>
      <c r="H181" s="47">
        <v>0.29699999999999999</v>
      </c>
      <c r="I181" s="47">
        <v>54.99</v>
      </c>
    </row>
    <row r="182" spans="1:9" x14ac:dyDescent="0.2">
      <c r="A182" s="47" t="s">
        <v>218</v>
      </c>
      <c r="B182" s="46"/>
      <c r="C182" s="47">
        <v>4.6900000000000004</v>
      </c>
      <c r="D182" s="47">
        <v>4.5999999999999996</v>
      </c>
      <c r="E182" s="47">
        <v>1.1200000000000001</v>
      </c>
      <c r="F182" s="47">
        <v>1.1000000000000001</v>
      </c>
      <c r="G182" s="47">
        <v>1.02</v>
      </c>
      <c r="H182" s="47">
        <v>0.09</v>
      </c>
      <c r="I182" s="47"/>
    </row>
    <row r="183" spans="1:9" ht="15.75" x14ac:dyDescent="0.2">
      <c r="A183" s="47" t="s">
        <v>219</v>
      </c>
      <c r="B183" s="46" t="s">
        <v>360</v>
      </c>
      <c r="C183" s="47">
        <v>0.88</v>
      </c>
      <c r="D183" s="47">
        <v>0.69</v>
      </c>
      <c r="E183" s="47">
        <v>0.21</v>
      </c>
      <c r="F183" s="47">
        <v>0.17</v>
      </c>
      <c r="G183" s="47">
        <v>1.27</v>
      </c>
      <c r="H183" s="47">
        <v>0.18</v>
      </c>
      <c r="I183" s="47">
        <v>35.1</v>
      </c>
    </row>
    <row r="184" spans="1:9" ht="15.75" x14ac:dyDescent="0.2">
      <c r="A184" s="47" t="s">
        <v>102</v>
      </c>
      <c r="B184" s="46" t="s">
        <v>362</v>
      </c>
      <c r="C184" s="47">
        <v>0.91900000000000004</v>
      </c>
      <c r="D184" s="47">
        <v>0.65900000000000003</v>
      </c>
      <c r="E184" s="47">
        <v>0.22</v>
      </c>
      <c r="F184" s="47">
        <v>0.16</v>
      </c>
      <c r="G184" s="47">
        <v>1.395</v>
      </c>
      <c r="H184" s="47">
        <v>0.26</v>
      </c>
      <c r="I184" s="47">
        <v>48.24</v>
      </c>
    </row>
    <row r="185" spans="1:9" x14ac:dyDescent="0.2">
      <c r="A185" s="47" t="s">
        <v>149</v>
      </c>
      <c r="B185" s="47"/>
      <c r="C185" s="47"/>
      <c r="D185" s="47"/>
      <c r="E185" s="47"/>
      <c r="F185" s="47"/>
      <c r="G185" s="47">
        <v>1.07</v>
      </c>
      <c r="H185" s="47"/>
      <c r="I185" s="47"/>
    </row>
    <row r="186" spans="1:9" ht="15.75" x14ac:dyDescent="0.2">
      <c r="A186" s="47" t="s">
        <v>19</v>
      </c>
      <c r="B186" s="46" t="s">
        <v>369</v>
      </c>
      <c r="C186" s="47">
        <v>1.67</v>
      </c>
      <c r="D186" s="47">
        <v>1.48</v>
      </c>
      <c r="E186" s="47">
        <v>0.39</v>
      </c>
      <c r="F186" s="47">
        <v>0.34</v>
      </c>
      <c r="G186" s="47">
        <v>1.127</v>
      </c>
      <c r="H186" s="47">
        <v>0.189</v>
      </c>
      <c r="I186" s="47">
        <v>35</v>
      </c>
    </row>
    <row r="187" spans="1:9" ht="15.75" x14ac:dyDescent="0.2">
      <c r="A187" s="47" t="s">
        <v>106</v>
      </c>
      <c r="B187" s="46" t="s">
        <v>372</v>
      </c>
      <c r="C187" s="47">
        <v>1.5</v>
      </c>
      <c r="D187" s="47">
        <v>1.31</v>
      </c>
      <c r="E187" s="47">
        <v>0.36</v>
      </c>
      <c r="F187" s="47">
        <v>0.31</v>
      </c>
      <c r="G187" s="47">
        <v>1.1499999999999999</v>
      </c>
      <c r="H187" s="47">
        <v>0.18</v>
      </c>
      <c r="I187" s="47">
        <v>36.799999999999997</v>
      </c>
    </row>
    <row r="188" spans="1:9" x14ac:dyDescent="0.2">
      <c r="A188" s="47" t="s">
        <v>220</v>
      </c>
      <c r="B188" s="137"/>
      <c r="C188" s="135">
        <v>1.93</v>
      </c>
      <c r="D188" s="135">
        <v>1.46</v>
      </c>
      <c r="E188" s="135">
        <v>0.46</v>
      </c>
      <c r="F188" s="135">
        <v>0.35</v>
      </c>
      <c r="G188" s="135">
        <v>1.32</v>
      </c>
      <c r="H188" s="135">
        <v>0.46200000000000002</v>
      </c>
      <c r="I188" s="135"/>
    </row>
    <row r="189" spans="1:9" ht="27" x14ac:dyDescent="0.2">
      <c r="A189" s="47" t="s">
        <v>395</v>
      </c>
      <c r="B189" s="137"/>
      <c r="C189" s="135"/>
      <c r="D189" s="135"/>
      <c r="E189" s="135"/>
      <c r="F189" s="135"/>
      <c r="G189" s="135"/>
      <c r="H189" s="135"/>
      <c r="I189" s="135"/>
    </row>
    <row r="190" spans="1:9" ht="27" x14ac:dyDescent="0.2">
      <c r="A190" s="47" t="s">
        <v>396</v>
      </c>
      <c r="B190" s="46"/>
      <c r="C190" s="47">
        <v>1.97</v>
      </c>
      <c r="D190" s="47">
        <v>1.5</v>
      </c>
      <c r="E190" s="47">
        <v>0.47</v>
      </c>
      <c r="F190" s="47">
        <v>0.36</v>
      </c>
      <c r="G190" s="47">
        <v>1.31</v>
      </c>
      <c r="H190" s="47">
        <v>0.46</v>
      </c>
      <c r="I190" s="47"/>
    </row>
    <row r="191" spans="1:9" ht="27" x14ac:dyDescent="0.2">
      <c r="A191" s="47" t="s">
        <v>397</v>
      </c>
      <c r="B191" s="46"/>
      <c r="C191" s="47">
        <v>2.2599999999999998</v>
      </c>
      <c r="D191" s="47">
        <v>1.76</v>
      </c>
      <c r="E191" s="47">
        <v>0.54</v>
      </c>
      <c r="F191" s="47">
        <v>0.42</v>
      </c>
      <c r="G191" s="47">
        <v>1.28</v>
      </c>
      <c r="H191" s="47">
        <v>0.5</v>
      </c>
      <c r="I191" s="47"/>
    </row>
    <row r="192" spans="1:9" ht="25.5" x14ac:dyDescent="0.2">
      <c r="A192" s="47" t="s">
        <v>221</v>
      </c>
      <c r="B192" s="46" t="s">
        <v>375</v>
      </c>
      <c r="C192" s="47">
        <v>0.64</v>
      </c>
      <c r="D192" s="47">
        <v>0.51</v>
      </c>
      <c r="E192" s="47">
        <v>0.15</v>
      </c>
      <c r="F192" s="47">
        <v>0.12</v>
      </c>
      <c r="G192" s="47">
        <v>1.29</v>
      </c>
      <c r="H192" s="47">
        <v>0.13</v>
      </c>
      <c r="I192" s="47">
        <v>24.1</v>
      </c>
    </row>
    <row r="193" spans="1:9" x14ac:dyDescent="0.2">
      <c r="A193" s="47" t="s">
        <v>123</v>
      </c>
      <c r="B193" s="47"/>
      <c r="C193" s="47">
        <v>0.16</v>
      </c>
      <c r="D193" s="47">
        <v>9.7000000000000003E-2</v>
      </c>
      <c r="E193" s="47"/>
      <c r="F193" s="47"/>
      <c r="G193" s="47"/>
      <c r="H193" s="47"/>
      <c r="I193" s="47"/>
    </row>
  </sheetData>
  <mergeCells count="77">
    <mergeCell ref="A102:A103"/>
    <mergeCell ref="B102:B103"/>
    <mergeCell ref="C102:C103"/>
    <mergeCell ref="A134:E134"/>
    <mergeCell ref="A135:E135"/>
    <mergeCell ref="A110:A111"/>
    <mergeCell ref="B110:B111"/>
    <mergeCell ref="C110:C111"/>
    <mergeCell ref="A125:A126"/>
    <mergeCell ref="B125:B126"/>
    <mergeCell ref="C125:C126"/>
    <mergeCell ref="A79:A80"/>
    <mergeCell ref="B79:B80"/>
    <mergeCell ref="C79:C80"/>
    <mergeCell ref="A94:A95"/>
    <mergeCell ref="B94:B95"/>
    <mergeCell ref="C94:C95"/>
    <mergeCell ref="A56:A57"/>
    <mergeCell ref="B56:B57"/>
    <mergeCell ref="C56:C57"/>
    <mergeCell ref="A59:A60"/>
    <mergeCell ref="B59:B60"/>
    <mergeCell ref="C59:C60"/>
    <mergeCell ref="A47:A48"/>
    <mergeCell ref="B47:B48"/>
    <mergeCell ref="C47:C48"/>
    <mergeCell ref="A53:A54"/>
    <mergeCell ref="B53:B54"/>
    <mergeCell ref="C53:C54"/>
    <mergeCell ref="B42:B43"/>
    <mergeCell ref="C42:C43"/>
    <mergeCell ref="A45:A46"/>
    <mergeCell ref="B45:B46"/>
    <mergeCell ref="C45:C46"/>
    <mergeCell ref="A1:F1"/>
    <mergeCell ref="B8:F8"/>
    <mergeCell ref="A10:B10"/>
    <mergeCell ref="A19:B19"/>
    <mergeCell ref="A38:A39"/>
    <mergeCell ref="B38:B39"/>
    <mergeCell ref="D38:E38"/>
    <mergeCell ref="B2:F2"/>
    <mergeCell ref="B3:F3"/>
    <mergeCell ref="B4:F4"/>
    <mergeCell ref="B5:F5"/>
    <mergeCell ref="B6:F6"/>
    <mergeCell ref="B7:F7"/>
    <mergeCell ref="F110:F111"/>
    <mergeCell ref="F125:F126"/>
    <mergeCell ref="A37:F37"/>
    <mergeCell ref="F94:F95"/>
    <mergeCell ref="F47:F48"/>
    <mergeCell ref="F53:F54"/>
    <mergeCell ref="F56:F57"/>
    <mergeCell ref="F59:F60"/>
    <mergeCell ref="F79:F80"/>
    <mergeCell ref="F40:F41"/>
    <mergeCell ref="F42:F43"/>
    <mergeCell ref="F45:F46"/>
    <mergeCell ref="A40:A41"/>
    <mergeCell ref="B40:B41"/>
    <mergeCell ref="C40:C41"/>
    <mergeCell ref="A42:A43"/>
    <mergeCell ref="G188:G189"/>
    <mergeCell ref="H188:H189"/>
    <mergeCell ref="I188:I189"/>
    <mergeCell ref="A141:A144"/>
    <mergeCell ref="B188:B189"/>
    <mergeCell ref="C188:C189"/>
    <mergeCell ref="D188:D189"/>
    <mergeCell ref="E188:E189"/>
    <mergeCell ref="F188:F189"/>
    <mergeCell ref="B141:B144"/>
    <mergeCell ref="C141:F142"/>
    <mergeCell ref="G141:G142"/>
    <mergeCell ref="H141:I141"/>
    <mergeCell ref="H142:I142"/>
  </mergeCells>
  <hyperlinks>
    <hyperlink ref="C141" r:id="rId1" display="http://www.engineeringtoolbox.com/heat-work-energy-d_292.html"/>
    <hyperlink ref="H141" r:id="rId2" display="http://www.engineeringtoolbox.com/ideal-gas-law-d_157.html"/>
  </hyperlinks>
  <pageMargins left="0.7" right="0.7" top="0.75" bottom="0.75" header="0.3" footer="0.3"/>
  <pageSetup orientation="landscape" r:id="rId3"/>
  <rowBreaks count="2" manualBreakCount="2">
    <brk id="17" max="16383" man="1"/>
    <brk id="3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election activeCell="P22" sqref="P22"/>
    </sheetView>
  </sheetViews>
  <sheetFormatPr defaultRowHeight="15" x14ac:dyDescent="0.2"/>
  <sheetData>
    <row r="1" spans="1:9" ht="16.5" thickBot="1" x14ac:dyDescent="0.3">
      <c r="A1" s="155" t="s">
        <v>450</v>
      </c>
      <c r="B1" s="155"/>
      <c r="C1" s="155"/>
      <c r="D1" s="155"/>
      <c r="E1" s="156"/>
    </row>
    <row r="2" spans="1:9" ht="16.5" thickTop="1" thickBot="1" x14ac:dyDescent="0.25">
      <c r="A2" s="99" t="s">
        <v>445</v>
      </c>
      <c r="B2" s="100" t="s">
        <v>446</v>
      </c>
      <c r="C2" s="100" t="s">
        <v>447</v>
      </c>
      <c r="D2" s="100" t="s">
        <v>448</v>
      </c>
      <c r="E2" s="101" t="s">
        <v>449</v>
      </c>
    </row>
    <row r="3" spans="1:9" ht="15.75" thickTop="1" x14ac:dyDescent="0.2">
      <c r="A3" s="102">
        <f>Tables!$A$7</f>
        <v>1.58</v>
      </c>
      <c r="B3" s="102">
        <f>Tables!$A$7</f>
        <v>1.58</v>
      </c>
      <c r="C3" s="102">
        <f>Tables!$A$7</f>
        <v>1.58</v>
      </c>
      <c r="D3" s="102">
        <f>Tables!$A$7</f>
        <v>1.58</v>
      </c>
      <c r="E3" s="102">
        <f>Tables!$A$7</f>
        <v>1.58</v>
      </c>
      <c r="F3" s="119" t="s">
        <v>266</v>
      </c>
      <c r="G3" s="119"/>
      <c r="H3" s="119"/>
      <c r="I3" s="120"/>
    </row>
    <row r="4" spans="1:9" x14ac:dyDescent="0.2">
      <c r="A4" s="102">
        <f>Tables!B15</f>
        <v>0.25</v>
      </c>
      <c r="B4">
        <f>Tables!B13</f>
        <v>0.3</v>
      </c>
      <c r="C4" s="102">
        <f>Tables!$B$14</f>
        <v>0.15</v>
      </c>
      <c r="D4" s="102">
        <f>Tables!$B$14</f>
        <v>0.15</v>
      </c>
      <c r="E4" s="102">
        <f>Tables!$B$14</f>
        <v>0.15</v>
      </c>
      <c r="F4" s="119" t="s">
        <v>267</v>
      </c>
      <c r="G4" s="119"/>
      <c r="H4" s="119"/>
      <c r="I4" s="120"/>
    </row>
    <row r="5" spans="1:9" x14ac:dyDescent="0.2">
      <c r="A5" s="102">
        <f>Tables!$B$21</f>
        <v>55.53</v>
      </c>
      <c r="B5">
        <f>Tables!B25</f>
        <v>49.55</v>
      </c>
      <c r="C5" s="102">
        <f>Tables!$B$21</f>
        <v>55.53</v>
      </c>
      <c r="D5" s="102">
        <f>Tables!$B$21</f>
        <v>55.53</v>
      </c>
      <c r="E5" s="102">
        <f>Tables!$B$21</f>
        <v>55.53</v>
      </c>
      <c r="F5" s="119" t="s">
        <v>268</v>
      </c>
      <c r="G5" s="119"/>
      <c r="H5" s="119"/>
      <c r="I5" s="120"/>
    </row>
    <row r="6" spans="1:9" x14ac:dyDescent="0.2">
      <c r="A6" s="102">
        <v>5.6000000000000001E-2</v>
      </c>
      <c r="B6">
        <v>0.156</v>
      </c>
      <c r="C6" s="102">
        <v>4.4699999999999997E-2</v>
      </c>
      <c r="D6">
        <v>4.4699999999999997E-2</v>
      </c>
      <c r="E6" s="102">
        <v>4.4699999999999997E-2</v>
      </c>
      <c r="F6" s="119" t="s">
        <v>269</v>
      </c>
      <c r="G6" s="119"/>
      <c r="H6" s="119"/>
      <c r="I6" s="120"/>
    </row>
    <row r="7" spans="1:9" x14ac:dyDescent="0.2">
      <c r="A7" s="102">
        <f>Tables!C99</f>
        <v>19.5</v>
      </c>
      <c r="B7">
        <f>Tables!C53</f>
        <v>58.1</v>
      </c>
      <c r="C7" s="102">
        <f>Tables!$C$94</f>
        <v>16.042999999999999</v>
      </c>
      <c r="D7" s="102">
        <f>Tables!$C$94</f>
        <v>16.042999999999999</v>
      </c>
      <c r="E7" s="102">
        <f>Tables!$C$94</f>
        <v>16.042999999999999</v>
      </c>
      <c r="F7" s="119" t="s">
        <v>270</v>
      </c>
      <c r="G7" s="119"/>
      <c r="H7" s="119"/>
      <c r="I7" s="120"/>
    </row>
    <row r="8" spans="1:9" x14ac:dyDescent="0.2">
      <c r="A8" s="102">
        <v>293.14999999999998</v>
      </c>
      <c r="B8">
        <v>293.14999999999998</v>
      </c>
      <c r="C8" s="102">
        <v>293.14999999999998</v>
      </c>
      <c r="D8" s="102">
        <v>293.14999999999998</v>
      </c>
      <c r="E8" s="102">
        <v>293.14999999999998</v>
      </c>
      <c r="F8" s="119" t="s">
        <v>239</v>
      </c>
      <c r="G8" s="119"/>
      <c r="H8" s="119"/>
      <c r="I8" s="120"/>
    </row>
    <row r="9" spans="1:9" ht="16.5" x14ac:dyDescent="0.2">
      <c r="A9" s="102">
        <v>8.9</v>
      </c>
      <c r="B9">
        <v>8.9</v>
      </c>
      <c r="C9" s="102">
        <v>8.9</v>
      </c>
      <c r="D9" s="102">
        <v>8.9</v>
      </c>
      <c r="E9" s="102">
        <v>8.9</v>
      </c>
      <c r="F9" s="119" t="s">
        <v>406</v>
      </c>
      <c r="G9" s="119"/>
      <c r="H9" s="119"/>
      <c r="I9" s="120"/>
    </row>
    <row r="10" spans="1:9" x14ac:dyDescent="0.2">
      <c r="A10" s="102">
        <v>0.2</v>
      </c>
      <c r="B10">
        <v>0.2</v>
      </c>
      <c r="C10" s="102">
        <v>0.2</v>
      </c>
      <c r="D10" s="102">
        <v>0.2</v>
      </c>
      <c r="E10" s="102">
        <v>0.2</v>
      </c>
      <c r="F10" s="119" t="s">
        <v>236</v>
      </c>
      <c r="G10" s="119"/>
      <c r="H10" s="119"/>
      <c r="I10" s="120"/>
    </row>
    <row r="11" spans="1:9" x14ac:dyDescent="0.2">
      <c r="A11" s="102">
        <v>101.325</v>
      </c>
      <c r="B11">
        <v>101.325</v>
      </c>
      <c r="C11" s="102">
        <v>101.325</v>
      </c>
      <c r="D11" s="102">
        <v>101.325</v>
      </c>
      <c r="E11" s="102">
        <v>101.325</v>
      </c>
      <c r="F11" s="119" t="s">
        <v>237</v>
      </c>
      <c r="G11" s="119"/>
      <c r="H11" s="119"/>
      <c r="I11" s="120"/>
    </row>
    <row r="12" spans="1:9" x14ac:dyDescent="0.2">
      <c r="A12" s="102">
        <f>Tables!G178</f>
        <v>1.27</v>
      </c>
      <c r="B12">
        <f>Tables!G156</f>
        <v>1.0940000000000001</v>
      </c>
      <c r="C12" s="102">
        <f>Tables!$G$176</f>
        <v>1.304</v>
      </c>
      <c r="D12" s="102">
        <f>Tables!$G$176</f>
        <v>1.304</v>
      </c>
      <c r="E12" s="102">
        <f>Tables!$G$176</f>
        <v>1.304</v>
      </c>
      <c r="F12" s="119" t="s">
        <v>399</v>
      </c>
      <c r="G12" s="119"/>
      <c r="H12" s="119"/>
      <c r="I12" s="120"/>
    </row>
  </sheetData>
  <mergeCells count="11">
    <mergeCell ref="F8:I8"/>
    <mergeCell ref="F9:I9"/>
    <mergeCell ref="F10:I10"/>
    <mergeCell ref="F11:I11"/>
    <mergeCell ref="F12:I12"/>
    <mergeCell ref="F7:I7"/>
    <mergeCell ref="A1:E1"/>
    <mergeCell ref="F3:I3"/>
    <mergeCell ref="F4:I4"/>
    <mergeCell ref="F5:I5"/>
    <mergeCell ref="F6:I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Screening Flare Parameters</vt:lpstr>
      <vt:lpstr>Refined Flare Parameters</vt:lpstr>
      <vt:lpstr>Flare Calcs</vt:lpstr>
      <vt:lpstr>Tables</vt:lpstr>
      <vt:lpstr>Default Fuel Tables</vt:lpstr>
    </vt:vector>
  </TitlesOfParts>
  <Company>SJVAPCD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Leland Villalvazo</dc:creator>
  <cp:lastModifiedBy>Esteban Gutierrez</cp:lastModifiedBy>
  <cp:lastPrinted>2016-06-14T21:36:19Z</cp:lastPrinted>
  <dcterms:created xsi:type="dcterms:W3CDTF">2012-08-29T14:05:36Z</dcterms:created>
  <dcterms:modified xsi:type="dcterms:W3CDTF">2017-11-20T23:00:40Z</dcterms:modified>
</cp:coreProperties>
</file>